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936" windowWidth="1941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6'!$17:$17</definedName>
    <definedName name="_xlnm.Print_Area" localSheetId="0">'додаток 6'!$A$1:$E$644</definedName>
  </definedNames>
  <calcPr fullCalcOnLoad="1"/>
</workbook>
</file>

<file path=xl/sharedStrings.xml><?xml version="1.0" encoding="utf-8"?>
<sst xmlns="http://schemas.openxmlformats.org/spreadsheetml/2006/main" count="708" uniqueCount="683">
  <si>
    <t>0600000</t>
  </si>
  <si>
    <t>0610000</t>
  </si>
  <si>
    <t>Внески в статутний капітал КНП "Другий Черкаський міський центр первинної медико-санітарної допомоги", в т.ч.:</t>
  </si>
  <si>
    <t>0700000</t>
  </si>
  <si>
    <t>0710000</t>
  </si>
  <si>
    <t>Департамент охорони здоров'я та медичних послуг</t>
  </si>
  <si>
    <t>Департамент освіти та гуманітарної політики</t>
  </si>
  <si>
    <t>0200000</t>
  </si>
  <si>
    <t>0210000</t>
  </si>
  <si>
    <t>Департамент управління справами та юридичного забезпечення ЧМР</t>
  </si>
  <si>
    <t>Код програмної класифікації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</si>
  <si>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</si>
  <si>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УСЬОГО</t>
  </si>
  <si>
    <t>Обсяг видатків бюджету розвитку, які спрямовуються на будівництво об'єкта у бюджетному періоді, гривень</t>
  </si>
  <si>
    <t>Розподіл коштів бюджету розвитку за об'єктами у 2020 році</t>
  </si>
  <si>
    <t>3700000</t>
  </si>
  <si>
    <t>Департамент фінансової політики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</si>
  <si>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</si>
  <si>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</si>
  <si>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</si>
  <si>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</si>
  <si>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0210160</t>
  </si>
  <si>
    <t>0611010</t>
  </si>
  <si>
    <t>Надання дошкільної освіти</t>
  </si>
  <si>
    <t>0611020</t>
  </si>
  <si>
    <t>0611090</t>
  </si>
  <si>
    <t>0611100</t>
  </si>
  <si>
    <t>0611110</t>
  </si>
  <si>
    <t>Підготовка кадрів професійно-технічними закладами та іншими закладами освіти</t>
  </si>
  <si>
    <t>0611161</t>
  </si>
  <si>
    <t>Забезпечення діяльності інших закладів у сфері освіти</t>
  </si>
  <si>
    <t>0614030</t>
  </si>
  <si>
    <t>Забезпечення діяльності бібліотек</t>
  </si>
  <si>
    <t>0614082</t>
  </si>
  <si>
    <t>Інші заходи в галузі культури і мистецтва</t>
  </si>
  <si>
    <t>0615031</t>
  </si>
  <si>
    <t>Утримання та навчально-тренувальна робота комунальних дитячо-юнацьких спортивних шкіл</t>
  </si>
  <si>
    <t>0617321</t>
  </si>
  <si>
    <t>Будівництво освітніх установ та закладів</t>
  </si>
  <si>
    <t>0617324</t>
  </si>
  <si>
    <t>Будівництво установ та закладів культури</t>
  </si>
  <si>
    <t>0617325</t>
  </si>
  <si>
    <t>Будівництво споруд, установ та закладів фізичної культури і спорту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</si>
  <si>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</si>
  <si>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</si>
  <si>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0617670</t>
  </si>
  <si>
    <t>Внески до статутного капіталу суб`єктів господарювання</t>
  </si>
  <si>
    <t>Внески в статутний капітал  КП "Спортивний комплекс "Будівельник"", в т.ч.:</t>
  </si>
  <si>
    <t>0717670</t>
  </si>
  <si>
    <t>Внески до статутного капіталу суб’єктів господарювання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</si>
  <si>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</si>
  <si>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"Четвертий Черкаський міський центр первинної медико-санітарної допомоги", в т.ч.:</t>
  </si>
  <si>
    <t>Внески в статутний капітал  КНП "Черкаська міська РОП "Астра", в т.ч.:</t>
  </si>
  <si>
    <t>Внески в статутний капітал КНП "Перша Черкаська міська лікарня", в т.ч.:</t>
  </si>
  <si>
    <t>Внески в статутний капітал КНП "Третя Черкаська міська лікарня швидкої медичної допомоги", в т.ч.:</t>
  </si>
  <si>
    <t>0800000</t>
  </si>
  <si>
    <t>Департамент соціальної політики ЧМР</t>
  </si>
  <si>
    <t>0810000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</si>
  <si>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</si>
  <si>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</si>
  <si>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1200000</t>
  </si>
  <si>
    <t>Департамент житлово-комунального комплексу</t>
  </si>
  <si>
    <t>1210000</t>
  </si>
  <si>
    <t>1216011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</si>
  <si>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</si>
  <si>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</si>
  <si>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Організація благоустрою населених пунктів</t>
  </si>
  <si>
    <t>1217310</t>
  </si>
  <si>
    <t>Будівництво об`єктів житлово-комунального господарства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</si>
  <si>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</si>
  <si>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</si>
  <si>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</si>
  <si>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Внески в статутний капітал КП "Черкасиводоканал", в т.ч.:</t>
  </si>
  <si>
    <t>Внески в статутний капітал КП "Комбінат комунальних підприємств", в т.ч.:</t>
  </si>
  <si>
    <t>Внески в статутний капітал КП "Дирекція парків", в т.ч.:</t>
  </si>
  <si>
    <t>Внески в статутний капітал КП "ЧЕЛУАШ", в т.ч.:</t>
  </si>
  <si>
    <t xml:space="preserve"> Внески в статутний капітал  КП "Міськсвітло", в т.ч.:</t>
  </si>
  <si>
    <t>1219800</t>
  </si>
  <si>
    <t>1600000</t>
  </si>
  <si>
    <t>Департамент архітектури та містобудування</t>
  </si>
  <si>
    <t>1610000</t>
  </si>
  <si>
    <t>1617310</t>
  </si>
  <si>
    <t>1617321</t>
  </si>
  <si>
    <t>1617325</t>
  </si>
  <si>
    <t>1617350</t>
  </si>
  <si>
    <t>Розроблення схем планування та забудови територій (містобудівної документації)</t>
  </si>
  <si>
    <t>1617370</t>
  </si>
  <si>
    <t>Реалізація інших заходів щодо соціально-економічного розвитку територій</t>
  </si>
  <si>
    <t>1617461</t>
  </si>
  <si>
    <t>1617650</t>
  </si>
  <si>
    <t>Проведення експертної грошової оцінки земельної ділянки чи права на неї</t>
  </si>
  <si>
    <t>1618312</t>
  </si>
  <si>
    <t>Утилізація відходів</t>
  </si>
  <si>
    <t>2700000</t>
  </si>
  <si>
    <t>Департамент економіки та розвитку</t>
  </si>
  <si>
    <t>2710000</t>
  </si>
  <si>
    <t>2717670</t>
  </si>
  <si>
    <t>Внески в статутний капітал КП "Черкаські ринки", в т.ч.:</t>
  </si>
  <si>
    <t>3300000</t>
  </si>
  <si>
    <t>Управління з питань державної реєстрації ЧМР</t>
  </si>
  <si>
    <t>3310000</t>
  </si>
  <si>
    <t>3310160</t>
  </si>
  <si>
    <t>0813105</t>
  </si>
  <si>
    <t>Надання реабілітаційних послуг особам з інвалідністю та дітям з інвалідністю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</si>
  <si>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</si>
  <si>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</si>
  <si>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</si>
  <si>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Придбання обладнання для реєстрації транспортних засобів (програмно-апаратний комплекс)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</si>
  <si>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</si>
  <si>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 xml:space="preserve">Придбання кондиціонерів для територіального центру надання соціальних послуг м. Черкаси 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</si>
  <si>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</t>
  </si>
  <si>
    <t>Капітальний ремонт приміщення територіального центру надання соціальних послуг м. Черкаси за адресою: вул. Гвардійська, 7/5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</si>
  <si>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</si>
  <si>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</t>
  </si>
  <si>
    <t>Капітальний ремонт приміщення майнового комплексу за адресою вул. Благовісна, 170 (корпус И-4, монтаж системи вентиляції)</t>
  </si>
  <si>
    <t>Капітальний ремонт приміщення майнового комплексу за адресою вул.Благовісна, 170 (корпус Д-4, 4 поверх, спортивний зал)</t>
  </si>
  <si>
    <t>Реконструкція будівлі по вул. Кобзарській, 1 (для розміщення кризового центру для жінок - жертв насильства) в м. Черкаси</t>
  </si>
  <si>
    <t>Придбання обладнання для облаштування муніципальних ярмарків (торгівельних павільйонів, прилавків) по вул. Сумгаїтська поблизу будинку 69</t>
  </si>
  <si>
    <t>Капітальний ремонт території ярмарок та прилеглої території (укладання тротуарною плиткою) вул.Добровольського та бул. Шевченка  (частина площі 700-річчя)</t>
  </si>
  <si>
    <t>Капітальний ремонт території ринку (укладання тротуарною плиткою) по вул.Благовісна, між вул. Небесної Сотні та Смілянською</t>
  </si>
  <si>
    <t xml:space="preserve">Виготовлення, розроблення документації із землеустрою щодо відведення земельних ділянок для КП "Черкаські ринки" </t>
  </si>
  <si>
    <t>Придбання нематеріальних активів (web-сайт ДФП)</t>
  </si>
  <si>
    <t>Придбання обладнання і предметів довгострокового користування (комп'ютерна техніка, оргтехніка, кондиціонери)</t>
  </si>
  <si>
    <t>Придбання обладнання і предметів довгострокового користування (комп'ютерна техніка, оргтехніка, стелажне обладнання, обладнання для центру обслуговування громадян)</t>
  </si>
  <si>
    <t>0817330</t>
  </si>
  <si>
    <t>Будівництво інших об'єктів комунальної власності</t>
  </si>
  <si>
    <t>0817323</t>
  </si>
  <si>
    <t>Будівництво установ та закладів соціальної сфери</t>
  </si>
  <si>
    <t>Капітальний ремонт будівлі КНП "Перша Черкаська міська лікарня" (неврологічне  відділення ) по вул. Дахнівська, 32 в м. Черкаси</t>
  </si>
  <si>
    <t xml:space="preserve">Капітальний ремонт території КНП «Друга Черкаська міська лікарня відновного лікування» </t>
  </si>
  <si>
    <t>Капітальний ремонт будівлі  КНП "Черкаська міська інфекційна лікарня"</t>
  </si>
  <si>
    <t>Капітальний ремонт будівель КНП "Черкаська міська інфекційна лікарня" (утеплення фасаду)</t>
  </si>
  <si>
    <t>Капітальний ремонт будівлі КНП "Черкаська міська РОП "Астра" (зовнішнє утеплення стін)</t>
  </si>
  <si>
    <t>Капітальний ремонт будівлі КНП "Перший Черкаський міський центр первинної медико-санітарної допомоги"</t>
  </si>
  <si>
    <t xml:space="preserve">Капітальний ремонт будівлі КНП "Другий Черкаський міський центр первинної медико-санітарної допомоги" за адресою м.Черкаси, вул. Кобзарська, 40 </t>
  </si>
  <si>
    <t>Капітальний ремонт будівлі КНП "Четвертий Черкаський міський центр первинної медико-санітарної допомоги"</t>
  </si>
  <si>
    <t xml:space="preserve">Капітальний ремонт (встановлення вузла обліку теплової енергії і ІТП системи опалення та вузла обліку гарячого водопостачання)  КНП "Черкаська міська дитяча стоматологічна поліклініка" за адресою вул. В’ячеслава Чорновола, 120 в м. Черкаси  </t>
  </si>
  <si>
    <t>Внески в статутний капітал  КНП "Черкаська міська дитяча стоматологічна поліклініка",  в т.ч.:</t>
  </si>
  <si>
    <t>Внески в статутний капітал КНП "Друга Черкаська міська лікарня відновного лікування", в т.ч.:</t>
  </si>
  <si>
    <t>Внески в статутний капітал КНП "Черкаська міська інфекційна лікарня" ЧМР, в т.ч.:</t>
  </si>
  <si>
    <t>Придбання мобільної рентгенівської системи з С-дугою для КНП "Третя Черкаська міська лікарня швидкої медичної допомоги"</t>
  </si>
  <si>
    <t>Капітальний ремонт будівлі КНП "Третя Черкаська міська лікарня швидкої медичної допомоги" (операційний блок)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</si>
  <si>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</si>
  <si>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</si>
  <si>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 xml:space="preserve">Будівництво мереж зовнішнього освітлення прибудинкової території житлового будинку №122/41 по вул. В. Чорновола </t>
  </si>
  <si>
    <t>Будівництво мереж зовнішнього освітлення пішохідної алеї від вул. Кобзарська до вул. Берегова</t>
  </si>
  <si>
    <t xml:space="preserve">Будівництво мереж зовнішнього освітлення прибудинкової території житлового будинку №120 по вул. В. Чорновола </t>
  </si>
  <si>
    <t xml:space="preserve">Будівництво мережі зовнішнього освітлення прибудинкової території житлових будинків №120/1, №120/2 по вул. В’ячеслава Чорновола в м.Черкаси </t>
  </si>
  <si>
    <t xml:space="preserve">Будівництво мережі зовнішнього освітлення прибудинкової території житлових будинків №33, №35 по вул. Анатолія Лупиноса в м.Черкаси </t>
  </si>
  <si>
    <t xml:space="preserve">Будівництво мережі зовнішнього освітлення прибудинкової території житлових будинків №149, №149/1, №149/2, №151, №153, №153/2, №155, №157 по вул. Самійла Кішки в м. Черкаси </t>
  </si>
  <si>
    <t xml:space="preserve">Будівництво мережі зовнішнього освітлення прибудинкової території житлового будинку №114/42 по вул. В’ячеслава Чорновола в м.Черкаси </t>
  </si>
  <si>
    <t xml:space="preserve">Будівництво мережі зовнішнього освітлення прибудинкової території житлового будинку № 299 по вул. Благовісна в  м. Черкаси </t>
  </si>
  <si>
    <t xml:space="preserve">Будівництво мережі зовнішнього освітлення прибудинкової території житлового будинку № 315 по вул. Гоголя в м. Черкаси </t>
  </si>
  <si>
    <t xml:space="preserve">Будівництво мережі зовнішнього освітлення прибудинкової території житлових будинків № 391 по вул. Надпільна в  м. Черкаси </t>
  </si>
  <si>
    <t xml:space="preserve">Будівництво мережі зовнішнього освітлення пішохідної алеї по вул. Хрещатик від вул. Університетська до вул. Крилова в  м. Черкаси </t>
  </si>
  <si>
    <t xml:space="preserve">Будівництво мережі зовнішнього освітлення пішохідного тротуару по вул. Смілянська від вул. Володимира Ложешнікова до вул. Хоменка (парна сторона) в м. Черкаси </t>
  </si>
  <si>
    <t>Реконструкція контейнерного майданчика для збору ТПВ за адресою вул. Хрещатик 130</t>
  </si>
  <si>
    <t>Будівництво мереж зовнішнього освітлення вулиць в мкрн. "Поляна" (Яблунева, Г. Буркацької, Івана Кулика, Миколи Лисенка, Городецького, Єфремова, Вишнева)</t>
  </si>
  <si>
    <t>Будівництво мережі зовнішнього освітлення на прибудинковій території житлових будинків № 12, 12/1, 12/2 по вул. Юрія Іллєнка</t>
  </si>
  <si>
    <t>Будівництво мережі зовнішнього освітлення прибудинкової території житлових будинків  № 46, 48, 50 по вул. Толстого</t>
  </si>
  <si>
    <t>Будівництво мережі зовнішнього освітлення прибудинкової території житлових будинків  № 7, 9, 11 по вул. Юрія Іллєнка</t>
  </si>
  <si>
    <t xml:space="preserve">Будівництво мережі зовнішнього освітлення прибудинкової території житлового будинку  №85 по  вул. В.Чорновола в м. Черкаси </t>
  </si>
  <si>
    <t>Будівництво мережі зовнішнього освітлення прибудинкової території житлових будинків   №158/1; №158/2; №160; №160/1; №160/2; №160/4 по вул. Нарбутівська в м. Черкаси</t>
  </si>
  <si>
    <t>Будівництво мережі зовнішнього освітлення прибудинкової території житлового будинку  №4  по вул. Різдвяна в м. Черкаси</t>
  </si>
  <si>
    <t>Будівництво мережі зовнішнього освітлення прибудинкової території житлового будинку №101  по вул. Волкова в м. Черкаси</t>
  </si>
  <si>
    <t>Будівництво мережі зовнішнього освітлення прибудинкової території житлового будинку  №22 по вул. Толстого в м. Черкаси</t>
  </si>
  <si>
    <t>Будівництво контейнерного майданчику для збору ТПВ за адресою вул. Надпільна 361</t>
  </si>
  <si>
    <t>Будівництво контейнерного майданчику для збору ТПВ за адресою вул. Чорновола241/1</t>
  </si>
  <si>
    <t>Будівництво контейнерного майданчику для збору ТПВ за адресою вул. Пастерівська 1</t>
  </si>
  <si>
    <t>Будівництво контейнерного майданчику для збору ТПВ за адресою вул. Тараскова 3</t>
  </si>
  <si>
    <t>Будівництво контейнерного майданчику для збору ТПВ за адресою вул. Руставі 11</t>
  </si>
  <si>
    <t>Будівництво контейнерного майданчику для збору ТПВ за адресою вул. Ярославська 8/1</t>
  </si>
  <si>
    <t>Будівництво контейнерного майданчику для збору ТПВ за адресою вул. Героїв Майдану 12</t>
  </si>
  <si>
    <t>Будівництво контейнерного майданчику для збору ТПВ за адресою вул. Руставі 15</t>
  </si>
  <si>
    <t>Будівництво контейнерного майданчику для збору ТПВ за адресою вул. Руставі 21</t>
  </si>
  <si>
    <t>Будівництво контейнерного майданчику для збору ТПВ за адресою вул. Героїв Майдану 8</t>
  </si>
  <si>
    <t>Будівництво контейнерного майданчику для збору ТПВ за адресою вул. Сумгаїтська 20</t>
  </si>
  <si>
    <t>Будівництво контейнерного майданчику для збору ТПВ за адресою вул.Нечуя Левицького 18</t>
  </si>
  <si>
    <t>Будівництво контейнерного майданчику для збору ТПВ за адресою вул. Грушевського 152/1</t>
  </si>
  <si>
    <t>Будівництво контейнерного майданчику для збору ТПВ за адресою вул. Пастерівська 44</t>
  </si>
  <si>
    <t>Реконструкція контейнерного майданчика для збору ТПВ за адресою вул.Кобзарська 42</t>
  </si>
  <si>
    <t>Будівництво контейнерного майданчика для збору ТПВ за адресою вул. Амброса 94</t>
  </si>
  <si>
    <t xml:space="preserve">Будівництво мереж зовнішнього освітлення по вул. Геронимівська </t>
  </si>
  <si>
    <t xml:space="preserve">Будівництво контейнерного майданчику для збору ТПВ по вул. Гетьмана Сагайдачного, 257 </t>
  </si>
  <si>
    <t>Будівництво контейнерного майданчика для збору ТПВ вул. Симиренківська 27</t>
  </si>
  <si>
    <t>Будівництво контейнерного майданчика для збору ТПВ вул.Гетьмана Сагайдачного 231</t>
  </si>
  <si>
    <t>Будівництво контейнерного майданчика ТПВ вул. Благовісна 332</t>
  </si>
  <si>
    <t>Реконструкція південно-західної частини полігону твердих побутових відходів в районі с. Руська Поляна</t>
  </si>
  <si>
    <t xml:space="preserve">Будівництво міського кладовища в районі вул. Промислової та станції Заводської (ІІ черга) 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</si>
  <si>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</si>
  <si>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пров. Поштовий в м.Черкаси</t>
  </si>
  <si>
    <t>Капітальний ремонт вул. Весела в м.Черкаси</t>
  </si>
  <si>
    <t>Капітальний ремонт пішохідної алеї по вул. Хрещатик (непарна сторона, від вул. Університетська до вул. Крилова).</t>
  </si>
  <si>
    <t>Капітальний ремонт вул. Університетська (парна сторона, від вул. Надпільна до вул. І. Гонти)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</si>
  <si>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</si>
  <si>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</si>
  <si>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провулку Слобідський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</si>
  <si>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</si>
  <si>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Вернигори (тротуар, непарна сторона від вул. Смілянська до житлового будинку № 21 по вул. Вернигори)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</si>
  <si>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</si>
  <si>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</si>
  <si>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Смаглія (тротуар, парна сторона, від вул. Онопрієнка до вул. О. Панченка)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</si>
  <si>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</si>
  <si>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</si>
  <si>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 ремонт пішохідної алеї від вул.Героїв Дніпра вздовж житлового будинку №69 до ДНЗ №34</t>
  </si>
  <si>
    <t>Капітальний ремонт міжквартального проїзду від вул. Чехова до вул. Юрія Іллєнка, 11</t>
  </si>
  <si>
    <t>Капітальний ремонт вул. Новопричистенська (тротуар, парна сторона, від вул.Гоголя до вул.Благовісна)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</si>
  <si>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</si>
  <si>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</si>
  <si>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</si>
  <si>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міжквартального проїзду від ж/б № 184 до ж/б № 180 по вул.Благовісна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</si>
  <si>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</si>
  <si>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Бидгощська (тротуар, парна сторона, від вул. С. Кішки до вул. Пастерівська)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</si>
  <si>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</si>
  <si>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</si>
  <si>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провулку Рибальський </t>
  </si>
  <si>
    <t>Капітальний ремонт вул. Хрещатик (тротуар, паркувальний майданчик, непарна сторона) від вул. Франка до вул. Пушкіна</t>
  </si>
  <si>
    <t>Реконструкція узвозу Пастерівський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</si>
  <si>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</si>
  <si>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Амброса (тротуар, парна сторона від вул. Новопричистенська до вул. Іллєнка)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</si>
  <si>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</si>
  <si>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</si>
  <si>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Капітальний ремонт  вул.Гоголя (тротуар, парна сторона від вул.Митницької до вул.Небесної Сотні)</t>
  </si>
  <si>
    <t>Капітальний ремонт вул. Пацаєва (тротуару від житлового будинку 14 до будинку 24 по вул. Пацаєва)</t>
  </si>
  <si>
    <t>Капітальний ремонт пішохідної алеї від вул.Гетьмана Сагайдачного 237 до вул. Подолинського 24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</si>
  <si>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</si>
  <si>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</si>
  <si>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Пацаєва (встановлення світлофору біля ЗОШ № 14) в м. Черкаси</t>
  </si>
  <si>
    <t>Капітальний ремонт вул. Першотравнева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</si>
  <si>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</si>
  <si>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вул. Гагаріна (від парку  Сосновий Бір  до узвозу Франка) в м. Черкаси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</si>
  <si>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</si>
  <si>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</si>
  <si>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</si>
  <si>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>Капітальний ремонт вул. Максима Кривоноса (від вул. Героїв Чорнобиля до вул. Крилова)</t>
  </si>
  <si>
    <t>Придбання техніки</t>
  </si>
  <si>
    <t>Будівництво мережі освітлення в парку-памʼятці садово-паркового мистецтва "Парк ім. Б. Хмельницького" по вул. Б.Вишневецього в м.Черкаси</t>
  </si>
  <si>
    <t>Капітальний ремонт  парку-памʼятки садово-паркового мистецтва "Парк ім. Б. Хмельницького" (ремонт доріжок) по вул. Б.Вишневецького в м.Черкаси</t>
  </si>
  <si>
    <t>Реконструкція Дитячого парку (реконструкція басейну з фонтаном) по вул.Хрещатик 168 в м.Черкаси</t>
  </si>
  <si>
    <t xml:space="preserve">Реконструкція парку-пам’ятки садово-паркового мистецтва "Парк ім. Б. Хмельницького" (реконструкція туалету) </t>
  </si>
  <si>
    <r>
      <t>Придбання туалету в П</t>
    </r>
    <r>
      <rPr>
        <sz val="12"/>
        <color indexed="8"/>
        <rFont val="Times New Roman"/>
        <family val="1"/>
      </rPr>
      <t>арк "Перемоги"</t>
    </r>
  </si>
  <si>
    <t>Капітальний ремонт парку "Казка" в м.Черкаси, вул.Припортова, 23/1</t>
  </si>
  <si>
    <t xml:space="preserve">Будівництво системи поливу в парку-пам’ятці садово-паркового мистецтва місцевого значення  "Парк "Перемоги" по вул.Смілянська, 132/1 в м.Черкаси </t>
  </si>
  <si>
    <t xml:space="preserve">Будівництво пляжу "Соснівський" (зовнішні мережі водопостачання, водовідведення з облаштуванням літніх душових, зовнішні мережі електропостачання) по вул. Гагаріна в м. Черкаси </t>
  </si>
  <si>
    <t xml:space="preserve">Придбання та встановлення системи відеоспостереження в парку-пам’ятці садово-паркового мистецтва загальнодержавного значення  "Парк ім. 50-річчя Радянської влади" </t>
  </si>
  <si>
    <t xml:space="preserve">Будівництво дитячого майданчика на пляжі "Митницький" в м.Черкаси </t>
  </si>
  <si>
    <t>Придбання системи фільтрації пляж "Казбетський"</t>
  </si>
  <si>
    <t xml:space="preserve">Придбання та встановлення дитячого та спортивного майданчика в сквері "Дружба" </t>
  </si>
  <si>
    <t>Реконструкція парку-пам'ятки садово-паркового мистецтва  "Юність" між вулицями Остафія Дашковича та Байди Вишневецького по бульв.Шевченка</t>
  </si>
  <si>
    <t>Придбання обладнання для занять кросфітом</t>
  </si>
  <si>
    <t>Придбання косарки-подрібнювача для трактора</t>
  </si>
  <si>
    <t xml:space="preserve">Придбання майданчика для вигулу та дресирування собак в парку-пам’ятці садово-паркового мистецтва  "Парк ім. 50-річчя Радянської влади" </t>
  </si>
  <si>
    <t xml:space="preserve">Придбання атракціону "Колесо огляду" </t>
  </si>
  <si>
    <t>Реконструкція парку пам’ятки садово-паркового мистецтва місцевого значення "Парк "Перемоги" (реконструкція пам’ятного знаку "Літак")</t>
  </si>
  <si>
    <t>Реконструкція скверу "Митницький" по вул. Б.Хмельницького в м.Черкаси</t>
  </si>
  <si>
    <t>Будівництво громадської вбиральні з облаштуванням кімнати матері та дитини по вул. Гагаріна в м. Черкаси</t>
  </si>
  <si>
    <t>Капітальний ремонт зупинок громадського транспорту</t>
  </si>
  <si>
    <t>Реконструкція адміністративної будівлі по вул. Бидгощській, 13 м. Черкаси</t>
  </si>
  <si>
    <t xml:space="preserve">Придбання комунальної техніки </t>
  </si>
  <si>
    <t>Реконструкція мережі зовнішнього освітлення  пров. Слобідський в м. Черкаси</t>
  </si>
  <si>
    <t>Реконструкція мережі зовнішнього освітлення вул. Анатолія Лупиноса від вул. Пастерівська до вул. В’ячеслава Чорновола в м. Черкаси</t>
  </si>
  <si>
    <t>Реконструкція мережі зовнішнього освітлення вул. Бидгощська від вул. Пастерівська до вул. В’ячеслава Чорновола в м. Черкаси</t>
  </si>
  <si>
    <t>Реконструкція мережі зовнішнього освітлення провулку Коцюбинського від вул. Самійла Кішки до вул. Пастерівська в м. Черкаси</t>
  </si>
  <si>
    <t xml:space="preserve">Реконструкція мережі зовнішнього освітлення провулку Михайла Сироти від вул. Самійла Кішки до вул. Пастерівська в м. Черкаси </t>
  </si>
  <si>
    <t xml:space="preserve">Реконструкція мережі зовнішнього освітлення вул. Гетьмана Сагайдачного від вул. В’ячеслава Чорновола до вул. Гуржіївська в м. Черкаси </t>
  </si>
  <si>
    <t xml:space="preserve">Реконструкція мережі зовнішнього освітлення вул. Митницька від бульвара  Шевченка до вул. Надпільна в м. Черкаси </t>
  </si>
  <si>
    <t xml:space="preserve">Реконструкція мережі зовнішнього освітлення  вул. Генерала Путейка в м. Черкаси </t>
  </si>
  <si>
    <t xml:space="preserve">Реконструкція мереж зовнішнього освітлення прибудинкової території житлових будинків по  вул. Хоменка 18, 20, 22, 24 в м. Черкаси </t>
  </si>
  <si>
    <t xml:space="preserve">Реконструкція мереж зовнішнього освітлення прибудинкової території житлових будинків по  вул. Хоменка 18/1, 18/2, 24/1 в м. Черкаси </t>
  </si>
  <si>
    <t xml:space="preserve">Реконструкція мережі зовнішнього освітлення вул. Танкістів в м. Черкаси </t>
  </si>
  <si>
    <t xml:space="preserve">Реконструкція мережі зовнішнього освітлення провулок Яцька Остряниці в м. Черкаси </t>
  </si>
  <si>
    <t xml:space="preserve">Реконструкція мережі зовнішнього освітлення провулку Дмитра Гуні в м. Черкаси </t>
  </si>
  <si>
    <t xml:space="preserve">Реконструкція мережі зовнішнього освітлення провулку Полковника Бурляя в м. Черкаси </t>
  </si>
  <si>
    <t>Реконструкція мережі зовнішнього освітлення вул. З0-річчя Перемоги (від вул. Сумгаїтська до вул. Руставі)</t>
  </si>
  <si>
    <t xml:space="preserve">Капітальний ремонт мереж зовнішнього освітлення з встановленням додаткового освітлення пішохідних переходів по вул. Менделєєва </t>
  </si>
  <si>
    <t xml:space="preserve">Капітальний ремонт мереж зовнішнього освітлення з встановленням додаткового освітлення пішохідних переходів по вул. Канівська </t>
  </si>
  <si>
    <t xml:space="preserve">Реконструкція мережі зовнішнього освітлення вул. Гагаріна від  Замкового узвозу до Черкаського міського парку «Сосновий Бір» в м. Черкаси </t>
  </si>
  <si>
    <t xml:space="preserve">Реконструкція мережі зовнішнього освітлення проспекту Хіміків від вул. Сурікова до вул. Симиренківська в  м. Черкаси </t>
  </si>
  <si>
    <t xml:space="preserve">Реконструкція мережі зовнішнього освітлення вул. Дахнівська від вул. Менделєєва  до бульвару Шевченка (парна сторона) в м. Черкаси </t>
  </si>
  <si>
    <t>Реконструкція мережі зовнішнього освітлення вул. Максима Кривоноса від  вул. Героїв Чорнобиля до вул. Гагаріна в м. Черкаси</t>
  </si>
  <si>
    <t>Реконструкція мережі зовнішнього освітлення вул. Чигиринська від вул. Добровольського до вул. Пацаєва в м. Черкаси</t>
  </si>
  <si>
    <t>Реконструкція мережі зовнішнього освітлення прибудинкової території житлових будинків по вул. Вернигори 23, 25, 27, 29</t>
  </si>
  <si>
    <t>Реконструкція  мережі зовнішнього освітлення вул. Нарбутівська від вул. Чехова до вул. Різдв'яна м. Черкаси</t>
  </si>
  <si>
    <t>Реконструкція мережі зовнішнього освітлення прибудинкової території житлового будинку №82 по  вул. Чехова  в м. Черкаси</t>
  </si>
  <si>
    <t>Капітальний ремонт мереж зовнішнього освітлення з встановленням додаткового освітлення пішохідних переходів по вул. Чехова в м. Черкаси</t>
  </si>
  <si>
    <t>Реконструкція мережі зовнішнього освітлення вул. Нечуя Левицького від Проспекту Хіміків до вул. Чайковського в м.Черкаси</t>
  </si>
  <si>
    <t>Реконструкція мережі зовнішнього освітлення прибудинкової території житлових будинків по вул Сумгаїтська 14, 16, 18, 20, 24  в м.Черкаси</t>
  </si>
  <si>
    <t>Реконструкція мережі зовнішнього освітлення прибудинкової території житлових будинку номер 50 по вул. 30 років Перемоги в м. Черкаси</t>
  </si>
  <si>
    <t>Реконструкція мережі зовнішнього освітлення прибудинкової території житлових будинків по вул Сумгаїтська 26, 28, 30, 32, 34, 36  в м.Черкаси</t>
  </si>
  <si>
    <t>Реконструкція мережі зовнішнього освітлення прибудинкової території житлових будинку номер 42 по вул Кобзарська   в м.Черкаси</t>
  </si>
  <si>
    <t>Реконструкція мережі зовнішнього освітлення вул. Сергія Амброса від вул. Іллєнка до вул. Кобзарська  в м.Черкаси</t>
  </si>
  <si>
    <t>Реконструкція мережі зовнішнього освітлення вул. Благовісна (від вул. В'ячеслава Чорновола до вул. Добровольського)</t>
  </si>
  <si>
    <t>Реконструкція мережі зовнішнього освітлення вул. Соснівська</t>
  </si>
  <si>
    <t>Реконструкція мережі зовнішнього освітлення вул. Симоненка</t>
  </si>
  <si>
    <t>Реконструкція мережі зовнішнього освітлення набережної річкового вокзалу</t>
  </si>
  <si>
    <t>Капітальний ремонт мереж зовнішнього освітлення з встановленням додаткового освітлення пішохідних переходів</t>
  </si>
  <si>
    <t>Реконструкція шаф управління зовнішнім освітленням міста в Соснівському районі із встановленням автоматизованої системи комерційного обліку електричної енергії споживача</t>
  </si>
  <si>
    <t>Реконструкція шаф управління зовнішнім освітленням міста в Придніпровському районі із встановленням автоматизованої системи комерційного обліку електричної енергії споживача</t>
  </si>
  <si>
    <t>Реконструкція мережі зовнішнього освітлення вул. Припортова</t>
  </si>
  <si>
    <t>Реконструкція мережі зовнішнього освітлення вул. Корольова</t>
  </si>
  <si>
    <t>Реконструкція мережі зовнішнього освітлення вул. Пушкіна</t>
  </si>
  <si>
    <t>Реконструкція мережі зовнішнього освітлення вул. Франка</t>
  </si>
  <si>
    <t>Реконструкція мережі зовнішнього освітлення прибудинкової території житлових будинків № 4, 6, 8 по вул. Припортова</t>
  </si>
  <si>
    <t>Придбання мультимедійної дошки для ДНЗ № 46</t>
  </si>
  <si>
    <t>Придбання пральної машини ДНЗ № 34 "Дніпряночка"</t>
  </si>
  <si>
    <t>Придбання обладнання для дитячих майданчиків ДНЗ № 10</t>
  </si>
  <si>
    <t>Придбання побутової техніки та обладнання для ДНЗ № 43</t>
  </si>
  <si>
    <t>Придбання побутової техніки та обладнання для ДНЗ № 74</t>
  </si>
  <si>
    <t>Придбання комплекту навчального обладнання для кабінету географії для СШ №20</t>
  </si>
  <si>
    <t>Придбання   шкільних меблів (комплекти учнівських столів зі стільцями) ЗОШ №6</t>
  </si>
  <si>
    <t>Придбання   шкільних меблів (інтерактивні дошки) ЗОШ №6</t>
  </si>
  <si>
    <t>Придбання обладнання для кабінету трудового навчання гімназія № 9</t>
  </si>
  <si>
    <t>Придбання звукового обладнання гімназія № 9</t>
  </si>
  <si>
    <t>Придбання лічильника тепла ЗОШ № 22</t>
  </si>
  <si>
    <t>Придбання книг для поповнення бібліотечного фонду Черкаської міської ЦБС</t>
  </si>
  <si>
    <t>Придбання штучної новорічної ялинки та новорічних інсталяцій</t>
  </si>
  <si>
    <t>Придбання спортивного інвентарю для КДЮСШ м. Черкаси згідно Програми розвитку єдиноборств у м. Черкаси на 2019-2023 роки</t>
  </si>
  <si>
    <t>Придбання причіпу-конструкції для перевезення спортивних човнів для ДЮСШ з веслування ЧМР</t>
  </si>
  <si>
    <t>Реконструкція будівлі (фасад) ДНЗ № 29</t>
  </si>
  <si>
    <t xml:space="preserve">Реконструкція будівлі (утеплення) дошкільного навчального закладу (ясла-садок) №50 "Світлофорчик" Черкаської міської ради по вул. Верхня Горова, 65 в м.Черкаси </t>
  </si>
  <si>
    <t xml:space="preserve">Реконструкція прилеглої території (огорожа) дошкільного навчального закладу (ясла-садок) № 2 "Сонечко" Черкаської міської ради по вул.Хрещатик, 261 в м. Черкаси </t>
  </si>
  <si>
    <t>Реконструкція будівлі ДНЗ № 78 (утеплення фасаду)</t>
  </si>
  <si>
    <t xml:space="preserve">Реконструкція прилеглої території ЗОШ № 15 </t>
  </si>
  <si>
    <t>Реконструкція будівлі (фасад) ДНЗ № 45</t>
  </si>
  <si>
    <t>Реконструкція будівлі (фасад) СШ № 18 (молодша)</t>
  </si>
  <si>
    <t>Реконструкція будівлі (харчоблок) СШ № 18</t>
  </si>
  <si>
    <t>Реконструкція будівлі (басейн) ДНЗ № 34</t>
  </si>
  <si>
    <t>Реконструкція будівлі (спортивна зала)  ЗОШ № 12</t>
  </si>
  <si>
    <t>Реконструкція будівлі (утеплення фасаду) СШ № 13</t>
  </si>
  <si>
    <t>Капітальний ремонт будівлі (харчоблок) ДНЗ №77</t>
  </si>
  <si>
    <t>Капітальний ремонт будівлі (санітарні вузли) ДНЗ №77</t>
  </si>
  <si>
    <t>Капітальний ремонт прилеглої території ДНЗ № 1 «Дюймовочка»</t>
  </si>
  <si>
    <t>Капітальний ремонт будівлі  (санітарні вузли) ДНЗ № 1 «Дюймовочка»</t>
  </si>
  <si>
    <t xml:space="preserve">Капітальний ремонт будівлі ДНЗ № 61 </t>
  </si>
  <si>
    <t>Капітальний ремонт будівлі ДНЗ № 63</t>
  </si>
  <si>
    <t>Капітальний ремонт будівлі ДНЗ № 35</t>
  </si>
  <si>
    <t>Капітальний ремонт будівлі ДНЗ № 46</t>
  </si>
  <si>
    <t>Капітальний ремонт будівлі ДНЗ № 45</t>
  </si>
  <si>
    <t xml:space="preserve">Капітальний ремонт прилеглої території (огорожа) дошкільного навчального закладу (ясла-садок) №50 "Світлофорчик" Черкаської міської ради по вул. Верхня Горова, 65 в м.Черкаси </t>
  </si>
  <si>
    <t>Капітальний ремонт будівлі (басейн) ДНЗ № 90</t>
  </si>
  <si>
    <t>Капітальний ремонт будівлі (пральня) ДНЗ № 91</t>
  </si>
  <si>
    <t>Капітальний ремонт будівлі (харчоблоку) ДНЗ № 34 "Дніпряночка"</t>
  </si>
  <si>
    <t>Капітальний ремонт будівлі (утеплення фасаду) ДНЗ № 91 "Кобзарик"</t>
  </si>
  <si>
    <t>Капітальний ремонт будівлі   (харчоблок)  ДНЗ № 76</t>
  </si>
  <si>
    <t xml:space="preserve">Капітальний ремонт будівлі ДНЗ № 54 </t>
  </si>
  <si>
    <t>Капітальний ремонт будівлі   (система вентиляції) ДНЗ № 57</t>
  </si>
  <si>
    <t>Капітальний ремонт прилеглої території (павільйони) ДНЗ № 61</t>
  </si>
  <si>
    <t>Капітальний ремонт будівлі (утеплення фасаду) ДНЗ № 77</t>
  </si>
  <si>
    <t>Капітальний ремонт будівлі (утеплення фасаду) ДНЗ №37 «Ракета»</t>
  </si>
  <si>
    <t xml:space="preserve">Капітальний ремонт прилеглої території (павільйони) ДНЗ №37 «Ракета» </t>
  </si>
  <si>
    <t xml:space="preserve">Капітальний ремонт будівлі (утеплення фасаду) ДНЗ № 74 </t>
  </si>
  <si>
    <t>Капітальний ремонт будівлі (групові осередки) ДНЗ № 29 «Ластівка»</t>
  </si>
  <si>
    <t>Капітальний ремонт будівлі   (санітарні вузли) ДНЗ № 33</t>
  </si>
  <si>
    <t>Капітальний ремонт будівлі  (фасад) ДНЗ № 57</t>
  </si>
  <si>
    <t xml:space="preserve">Капітальний ремонт будівлі ДНЗ № 78 «Джерельце»  </t>
  </si>
  <si>
    <t>Капітальний ремонт будівлі (групові осередки) ДНЗ № 91</t>
  </si>
  <si>
    <t xml:space="preserve">Капітальний ремонт будівлі ДНЗ № 30 </t>
  </si>
  <si>
    <t>Капітальний ремонт будівлі ДНЗ № 31</t>
  </si>
  <si>
    <t>Капітальний ремонт будівлі (зовнішні інженерні мережі) ДНЗ № 31</t>
  </si>
  <si>
    <t>Капітальний ремонт будівлі (покрівля) ДНЗ № 38</t>
  </si>
  <si>
    <t>Капітальний ремонт будівлі (покрівля) ДНЗ № 39</t>
  </si>
  <si>
    <t xml:space="preserve">Капітальний ремонт будівлі (внутрішні інженерні мережі) ДНЗ № 39 </t>
  </si>
  <si>
    <t>Капітальний ремонт будівлі  (утеплення фасаду) ДНЗ № 22</t>
  </si>
  <si>
    <t>Капітальний ремонт будівлі  (санітарні вузли) ДНЗ № 22</t>
  </si>
  <si>
    <t>Капітальний ремонт будівлі  ДНЗ №43 (санвузли)</t>
  </si>
  <si>
    <t>Капітальний ремонт прилеглої території (павільйони)  ДНЗ № 61</t>
  </si>
  <si>
    <t xml:space="preserve">Капітальний ремонт будівлі  (пральня) ДНЗ № 81 </t>
  </si>
  <si>
    <t>Капітальний ремонт будівлі (утеплення фасаду)  ДНЗ №2</t>
  </si>
  <si>
    <t xml:space="preserve">Капітальний ремонт прилеглої території (дитячі ігрові конструкції) дошкільного навчального закладу (ясла-садок) № 2 "Сонечко" Черкаської міської ради по вул.Хрещатик, 261 в м. Черкаси </t>
  </si>
  <si>
    <t>Капітальний ремонт будівлі ДНЗ № 50</t>
  </si>
  <si>
    <t>Капітальний ремонт прилеглої території (дитячі ігрові конструкції) дошкільного навчального закладу (ясла -садок) №50 "Світлофорчик" Черкаської міської ради по вул. Верхня Горова, 65 в м.Черкаси</t>
  </si>
  <si>
    <t>Капітальний ремонт будівлі (утеплення фасаду) ДНЗ №13</t>
  </si>
  <si>
    <t xml:space="preserve">Капітальний ремонт прилеглої території гімназії  (улаштування тротуарної плитки) № 31 </t>
  </si>
  <si>
    <t xml:space="preserve">Капітальний ремонт будівлі (утеплення фасаду) Черкаського колегіуму "Берегиня" </t>
  </si>
  <si>
    <t>Капітальний ремонт будівлі (фасад) СШ № 17</t>
  </si>
  <si>
    <t>Капітальний ремонт будівлі (утеплення фасаду) НВК ЗОШ №34</t>
  </si>
  <si>
    <t>Капітальний ремонт будівлі  (заміна вікон) ЗОШ № 5</t>
  </si>
  <si>
    <t>Капітальний ремонт будівлі ЗОШ №22 (утеплення фасаду)</t>
  </si>
  <si>
    <t xml:space="preserve">Капітальний ремонт прилеглої території ЗОШ № 19 </t>
  </si>
  <si>
    <t>Капітальний ремонт будівлі ЗОШ № 15</t>
  </si>
  <si>
    <t>Капітальний ремонт будівлі (спортивна зала) ЗОШ № 6</t>
  </si>
  <si>
    <t>Капітальний ремонт будівлі  ЗОШ № 8</t>
  </si>
  <si>
    <t xml:space="preserve">Капітальний ремонт будівлі ЗОШ № 25 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</si>
  <si>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</si>
  <si>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>Капітальний ремонт будівлі (покрівля) СШ № 28</t>
  </si>
  <si>
    <t>Капітальний ремонт будівлі  (інженерні мережі каналізації, водопроводу) ЗОШ № 12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</si>
  <si>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</si>
  <si>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 (актова зала) гімназії № 31</t>
  </si>
  <si>
    <t>Капітальний ремонт будівлі (заміна вікон) Черкаського колегіуму "Берегиня" Черкаської міської ради по вул. Хоменка 14/1 в м. Черкаси</t>
  </si>
  <si>
    <t>Капітальний ремонт будівлі (центральний вхід) СШ № 17</t>
  </si>
  <si>
    <t>Капітальний ремонт будівлі (спортивний зал) НВК ЗОШ № 34</t>
  </si>
  <si>
    <t>Капітальний ремонт будівлі (утеплення фасаду) ДНЗ №9</t>
  </si>
  <si>
    <t>Капітальний ремонт будівлі (утеплення фасаду) ДНЗ № 87 «Дельфін»</t>
  </si>
  <si>
    <t>Реконструкція бігових доріжок гумовим покриттям спеціалізованої школи № 17</t>
  </si>
  <si>
    <t>Капітальний ремонт прилеглої території колегіуму "Берегиня" по вул. Хоменка, 14/1 в м. Черкаси</t>
  </si>
  <si>
    <t xml:space="preserve">Капітальний ремонт прилеглої  території (спортивний майданчик з штучним покриттям) ФІМЛІ ЧМР по вул.Благовісній, 280 в м.Черкаси </t>
  </si>
  <si>
    <t>Капітальний ремонт будівлі (санітарні вузли) колегіуму «Берегиня</t>
  </si>
  <si>
    <t xml:space="preserve">Капітальний ремонт будівлі нежитлового приміщення вул. Чехова 112 в м. Черкаси </t>
  </si>
  <si>
    <t>Реконструкція будівлі за адресою вул. Вернигори, 19, м.Черкаси</t>
  </si>
  <si>
    <t>Капітальний ремонт будівлі (концертний зал) Черкаської ДМШ № 1 ім. М.В. Лисенка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</si>
  <si>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</si>
  <si>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(утеплення фасаду) корпусу 1 Дитячої школи мистецтв, пров. Гастелло, 3</t>
  </si>
  <si>
    <t>Капітальний ремонт навчальних класів корпусу 1 Дитячої школи мистецтв, пров. Гастелло, 3</t>
  </si>
  <si>
    <t>Капітальний ремонт прилеглої території дитячої школи мистецтв, провулок Гастелло, 3 м. Черкаси</t>
  </si>
  <si>
    <t>Капітальний ремонт будівлі ЧМЦБ ім. Лесі Українки</t>
  </si>
  <si>
    <t>Реконструкція будівлі (фасад)  спортивного комплексу з басейном на території КП «Центральний стадіон»</t>
  </si>
  <si>
    <t>Реконструкція  комплексу з басейном "Сокіл"(система рекуперації) по вул. Смілянській, 78</t>
  </si>
  <si>
    <t>Капітальний ремонт будівлі (внутрішні мережі опалення) за адресою: вул. Смілянська, 94, КДЮСШ № 1</t>
  </si>
  <si>
    <t>Капітальний ремонт будівлі спортивного комплексу з басейном на КП "Центральний стадіон" (роздягальні, фойє)  вул. Смілянська, 78</t>
  </si>
  <si>
    <t>Капітальний ремонт будівлі спортивного комплексу з басейном на КП "Центральний стадіон" (зал боксу)  вул. Смілянська, 78</t>
  </si>
  <si>
    <t xml:space="preserve">Реконструкція частини адміністративної будівлі з розміщенням кімнат відпочинку спортсменів КП "Центральний стадіон"  по вул. Смілянська, 78 </t>
  </si>
  <si>
    <t>Реконструкція будівлі спортивного комплексу з басейном на КП "Центральний стадіон" (спортивний зал для ігрових видів спорту)  вул. Смілянська, 78</t>
  </si>
  <si>
    <t>Реконструкція прилеглої території (стаціонарна арена для боксу)   КП "Центральний стадіон" вул. Смілянська, 78</t>
  </si>
  <si>
    <t>Капітальний ремонт будівлі КП "Спортивний комплекс "Будівельник" (система пожежної сигналізації, оповіщення людей про пожежу та передачі тривожних сповіщень) за адресою: пр-т Хіміків 50/1</t>
  </si>
  <si>
    <t>Капітальний ремонт будівлі (покрівля) КП "Спортивний комплекс "Будівельник", за адресою: пр-т Хіміків 50/1</t>
  </si>
  <si>
    <t>Придбання програмного забезпечення для системи електронного документообігу</t>
  </si>
  <si>
    <t>Капітальний ремонт Черкаської гімназії №9 ім. О.М. Луценка (замощення та освітлення прилеглої території), м. Черкаси</t>
  </si>
  <si>
    <t>Будівництво ДНЗ за адресою вул. Г. Дніпра, 87  м. Черкаси</t>
  </si>
  <si>
    <t>Реконструкція спортивного багатофункціонального майданчику по вул. Героїв Дніпра 69</t>
  </si>
  <si>
    <t>Реконструкція футбольно-баскетбольної площадки за адресою бульвар Шевченка, 399/1</t>
  </si>
  <si>
    <t>Реконструкція спортивного майданчику за адресою: вул.С.Амброса, 147 м. Черкаси</t>
  </si>
  <si>
    <t>Виготовлення та встановлення скульптур "Воїна захисника" та "Воїна з мечем" меморіального комплексу пам'яті учасників АТО в м. Черкаси</t>
  </si>
  <si>
    <t>Виготовлення та встановлення інформаційної стели меморіального комплексу пам'яті учасників АТО в м. Черкаси</t>
  </si>
  <si>
    <t>Виготовлення та встановлення скульптури "Древо миру - Древо життя" меморіального комплексу пам'яті учасників АТО в м. Черкаси</t>
  </si>
  <si>
    <t>Будівництво меморіального комплексу пам'яті учасників АТО в м. Черкаси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</si>
  <si>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</si>
  <si>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</si>
  <si>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</si>
  <si>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Різдвяна від вул. Толстого до вул. Нарбутівська м. Черкаси 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</si>
  <si>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</si>
  <si>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</si>
  <si>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</si>
  <si>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</si>
  <si>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</si>
  <si>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</si>
  <si>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</si>
  <si>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вул.Сумгаїтської від межі міста до вул. Одеської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</si>
  <si>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</si>
  <si>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</si>
  <si>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</si>
  <si>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</si>
  <si>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</si>
  <si>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t>Реконструкція вул. Б. Вишневецького (тротуар) від вул. Хрещатик до Замкового узвозу, м. Черкаси</t>
  </si>
  <si>
    <t>Реконструкція  вул. Пастерівська (тротуар парна сторона) від вул. О. Маламужа до вул. Пилипенка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</si>
  <si>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</si>
  <si>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</si>
  <si>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</si>
  <si>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</si>
  <si>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</si>
  <si>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</si>
  <si>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</si>
  <si>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</si>
  <si>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>Будівництво набережної між вул. Козацька та вул. С. Смірнова м. Черкаси (виготовлення ПКД)</t>
  </si>
  <si>
    <t>Будівництво вул.Квіткова від вул.Сумгаїтської до вул.Хоменко</t>
  </si>
  <si>
    <t>Реконструкція Набережної ("Митниця" - І черга)</t>
  </si>
  <si>
    <t>Реконструкція парку-пам'ятки садово-паркового мистецтва місцевого значення "Сквер Обласної ради"</t>
  </si>
  <si>
    <t>Реконструкція скверу "В'ячеслава Чорновола"</t>
  </si>
  <si>
    <t>Реконструкція спортивного майданчику для занять кросфітом на пляжі "Казбетський"</t>
  </si>
  <si>
    <t>Реконструкція спортивного майданчику по вул. Луначарського у дворі будинків №1,3,4,5 в м. Черкаси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</si>
  <si>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</si>
  <si>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території ярмарок (укладання тротуарною плиткою) по вул.Сумгаїтська поблизу будинку 69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</si>
  <si>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</si>
  <si>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</si>
  <si>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</si>
  <si>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 ), на умовах співфінансування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</si>
  <si>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</si>
  <si>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Будівництво мережі зовнішнього освітлення прибудинкової території житлових будинків  № 76, 78 по вул. Толстого</t>
  </si>
  <si>
    <t>Придбання промислової пральної машини ДНЗ № 13</t>
  </si>
  <si>
    <t>Придбання промислової пральної машини ДНЗ№ 43</t>
  </si>
  <si>
    <t>Придбання промислової пральної машини ДНЗ № 59</t>
  </si>
  <si>
    <t>Придбання промислової пральної машини ДНЗ №74</t>
  </si>
  <si>
    <t>Придбання комп’ютерної техніки ЗОШ № 12</t>
  </si>
  <si>
    <t>Придбання обладнання в кабінет праці ЗОШ № 12</t>
  </si>
  <si>
    <t>Придбання звукового та освітлювального обладнання ЗОШ №12</t>
  </si>
  <si>
    <t>Придбання комп’ютерної техніки ЗОШ №21</t>
  </si>
  <si>
    <t>Придбання обладнання в кабінет праці ЗОШ №21</t>
  </si>
  <si>
    <t>Придбання звукового та освітлювального обладнання ЗОШ №21</t>
  </si>
  <si>
    <t>Придбання комп’ютерної техніки ЗОШ №22</t>
  </si>
  <si>
    <t>Придбання обладнання в кабінет праці ЗОШ №22</t>
  </si>
  <si>
    <t>Придбання звукового та освітлювального обладнання ЗОШ№ 22</t>
  </si>
  <si>
    <t xml:space="preserve">Реконструкція Гімназії №9 з надбудовою рекреаційного приміщення над частиною підвалу (ТИР) </t>
  </si>
  <si>
    <t xml:space="preserve">Реконструкція будівлі (утеплення фасаду) СШ № 13 </t>
  </si>
  <si>
    <t xml:space="preserve">Капітальний  ремонт будівлі ДНЗ №81  </t>
  </si>
  <si>
    <t>Капітальний ремонт будівлі (заміна вікон) ДНЗ №62</t>
  </si>
  <si>
    <t xml:space="preserve">Капітальний ремонт будівлі (заміна вікон) ДНЗ № 60 </t>
  </si>
  <si>
    <t xml:space="preserve">Капітальний ремонт будівлі   (санвузли) ЗОШ №22 </t>
  </si>
  <si>
    <t>Капітальний ремонт будівлі (утеплення фасаду) НВК ЗОШ № 34</t>
  </si>
  <si>
    <t xml:space="preserve">Капітальний ремонт будівлі  (тир) гімназія № 31 </t>
  </si>
  <si>
    <t>Капітальний ремонт будівлі (влаштування автоматичної системи пожежної сигналізації та оповіщення, автоматичної системи пожежогасіння) ФІМЛІ ЧМР</t>
  </si>
  <si>
    <t>Капітальний ремонт будівлі  КНП «Друга Черкаська міська лікарня відновного лікування» (заміна вікон та утеплення фасаду)</t>
  </si>
  <si>
    <t>Придбання комп’ютерної техніки гімназії № 9</t>
  </si>
  <si>
    <t>Придбання квартири в м.Черкаси для спортсмена-інструктора національної штатної збірної команди України з футболу серед спортсменів з наслідками ДЦП  чемпіона XV літніх Паралімпійських ігор 2016 року, чемпіона світу 2017 року Кулинича Б.Г.</t>
  </si>
  <si>
    <t>Реконструкція території по вул. Смілянській, 33 (біля ЦДЮТ)</t>
  </si>
  <si>
    <t>Придбання комп’ютерного обладнання (комп’ютер стаціонарний)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</si>
  <si>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Будівництво полігону твердих побутових відходів в районі с. Руська Поляна</t>
  </si>
  <si>
    <t>Капітальний ремонт прилеглої території (огорожа) НВК ЗОШ № 34</t>
  </si>
  <si>
    <t xml:space="preserve">Капітальний  ремонт внутрішньоквартального проїзду вул. Благовісна буд.330; буд. 332  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</si>
  <si>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</si>
  <si>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</si>
  <si>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r>
      <t xml:space="preserve">Проведення експертної грошової оцінки земельних ділянок
</t>
    </r>
    <r>
      <rPr>
        <i/>
        <sz val="12"/>
        <rFont val="Times New Roman"/>
        <family val="1"/>
      </rPr>
      <t>Програма розвитку земельних відносин та використання і охорони  земель в м. Черкаси на 2019-2023 роки</t>
    </r>
  </si>
  <si>
    <t>Капітальний ремонт дитячого та спортивного майданчика по вул. Смірнова, 2</t>
  </si>
  <si>
    <t xml:space="preserve"> Внески в статутний капітал  КП "Черкаситеплокомуненерго", в т.ч.:</t>
  </si>
  <si>
    <t>Капітальний ремонт (утеплення фасадів) виробничої будівлі КПТМ «Черкаситеплокомуненерго» по вул. Прикордонника Лазаренка, 6</t>
  </si>
  <si>
    <t>Капітальний ремонт огороджуючих конструкцій з заміною вікон котельні по вул. Онопрієнка, 8 в м. Черкаси</t>
  </si>
  <si>
    <t>Капітальний ремонт огороджуючих конструкцій (з заміною вікон) котельні по вул. Красовського, 10 в м. Черкаси</t>
  </si>
  <si>
    <t>Придбання лічильників тепла та води</t>
  </si>
  <si>
    <t>Придбання обладнання і предметів довгострокового користування (апарат для неінвазивної та інвазивної вентиляції легень) для КНП "П'ятий Черкаський міський центр первинної медико-санітарної допомоги"</t>
  </si>
  <si>
    <t>Внески в статутний капітал КНП "П'ятий Черкаський міський центр первинної медико-санітарної допомоги", в т.ч.:</t>
  </si>
  <si>
    <t>Реконструкція прилеглої території (спортивний майданчик) Перша міська гімназія</t>
  </si>
  <si>
    <t>Капітальний ремонт будівлі СШ № 33</t>
  </si>
  <si>
    <t>Реконструкція будівлі (фасад) ДНЗ № 59</t>
  </si>
  <si>
    <t xml:space="preserve">Капітальний ремонт будівлі (басейн) ДНЗ №34 </t>
  </si>
  <si>
    <t>Реконструкція прилеглої території (покриття синтетична трава) гімназія № 31</t>
  </si>
  <si>
    <t>Капітальний ремонт спортивного майданчику зі штучним покриттям ЗОШ № 6</t>
  </si>
  <si>
    <t>Капітальний ремонт спортивного майданчику зі штучним покриттям ЗОШ № 29</t>
  </si>
  <si>
    <t>Реконструкція будівлі ДНЗ № 21 (ПКД)</t>
  </si>
  <si>
    <t>Капітальний ремонт вул. Ю. Іллєнка від вул. Нарбутівська до вул. Нижня Горова  в м. Черкаси (виготовлення ПКД)</t>
  </si>
  <si>
    <t>Капітальний ремонт внутрішньоквартального проїзду вул. Різдвяна буд. 9 до вул. Ю. Іллєнка  буд. 22 в м. Черкаси</t>
  </si>
  <si>
    <t xml:space="preserve">Капітальний ремонт вул. Нарбутівська від вул. Ю. Іллєнка до вул.  Різдвяна м. Черкаси </t>
  </si>
  <si>
    <t>Реконструкція вул. Сержанта Жужоми (від вул. Гагаріна до вул. Героїв Дніпра) в м. Черкаси</t>
  </si>
  <si>
    <t>Будівництво дитячого та спортивного майданчика на розі вул. Абрикосова та вул. Онопрієнка, м. Черкаси</t>
  </si>
  <si>
    <t>Реконструкція (асфальтування) баскетбольного майданчику по вул. Генерала Момота, 1,3,5,7, м. Черкаси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</si>
  <si>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</si>
  <si>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Найменування головного розпорядника коштів місцевого бюджету,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</si>
  <si>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Капітальний ремонт прилеглої території  (замощення та освітлення території) Черкаської Гімназії №9 О.М. Луценка </t>
  </si>
  <si>
    <t xml:space="preserve">Капітальний ремонт прилеглої території (спортивний майданчик) Черкаської загальноосвітньої школи І-ІІІ ст. № 30 ЧМР </t>
  </si>
  <si>
    <t>Капітальний ремонт будівлі (заміна вікон та внутрішніх дверей) Черкаської загальноосвітньої школи І-ІІІ ст. № 30 ЧМР</t>
  </si>
  <si>
    <t>Будівництво контейнерного майданчику для збору ТПВ за адресою вул. Тараскова 13</t>
  </si>
  <si>
    <t>Капітальний ремонт пішохідної алеї від вул. Героїв Дніпра вздовж житловго будинку № 51 до ЗОШ НВК № 34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</si>
  <si>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</si>
  <si>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</si>
  <si>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вул. Нарбутівська (тротуар, парна сторона, від вул. Cемеренківська до вул. Подолинського) в м. Черкаси</t>
  </si>
  <si>
    <t>Реконструкція вул. Генерела Момота (перехрестя з вулицями Онопрієнка, Лісова Просіка)</t>
  </si>
  <si>
    <t>Будівництво мережі освітлення в парку-пам'ятці садово-паркового мистецтва місцевого значення "Парк Хіміків" по проспекту Хіміків в м.Черкаси</t>
  </si>
  <si>
    <t>Капітальний ремонт мереж зовнішнього освітлення з встановленням додаткового освітлення пішохідних переходів по вул. Кобзарська в м.Черкаси</t>
  </si>
  <si>
    <t>Капітальний ремонт мереж зовнішнього освітлення з встановленням додаткового освітлення пішохідних переходів по вул. Різдвяна в м.Черкаси</t>
  </si>
  <si>
    <t>Капітальний ремонт мереж зовнішнього освітлення з встановленням додаткового освітлення пішохідних переходів по вул. Руставі  в м.Черкаси</t>
  </si>
  <si>
    <t>Капітальний ремонт мереж зовнішнього освітлення з встановленням додаткового освітлення пішохідних переходів по вул. Сергія Амброса  в м.Черкаси</t>
  </si>
  <si>
    <t xml:space="preserve">Капітальний ремонт мереж зовнішнього освітлення з встановленням додаткового освітлення пішохідних переходів по вул. Юрія Іллєнка  в м.Черкаси </t>
  </si>
  <si>
    <t>Капітальний ремонт мереж зовнішнього освітлення з встановленням додаткового освітлення пішохідних переходів по вул. 30 років Перемоги в м.Черкаси</t>
  </si>
  <si>
    <t>Реконструкція мережі зовнішнього освітлення вул. Святомакаріївська</t>
  </si>
  <si>
    <t>Придбання та встановлення уніфікованої системи позначок туристичних об’єктів інформаційних стендів, вказівників, що вказують напрямок та відстань до об'єктів туристичної інфраструктури (4шт)</t>
  </si>
  <si>
    <t>Капітальний ремонт будівель станції швидкої медичної допомоги по вул. О.Дашковича, 41, 40-42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</si>
  <si>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</si>
  <si>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Капітальний ремонт вул. Гоголя (тротуар, парна сторона, від вул. В.Чорновола до вул. Ю.Іллєнка) в м. Черкаси </t>
  </si>
  <si>
    <t xml:space="preserve">Будівництво мережі зовнішнього освітлення прибудинкової території житлових будинків № 17, 17/1 по вул. Митницька в  м. Черкаси </t>
  </si>
  <si>
    <t xml:space="preserve">Будівництво мережі зовнішнього освітлення прибудинкової території житлових будинків № 180, 182, 184 по вул. Благовісна в  м. Черкаси </t>
  </si>
  <si>
    <t>Будівництво мережі зовнішнього освітлення прибудинкової території житлових будинків № 272 по бульвару Шевченка в  м. Черкаси</t>
  </si>
  <si>
    <t>0616082</t>
  </si>
  <si>
    <t>Придбання житла для окремих категорій населення відповідно до законодавства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</si>
  <si>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</si>
  <si>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Реконструкція мережі зовнішнього освітлення вул. Героїв Холодного Яру (від проспекту Хіміків до ПАТ "Азот")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</si>
  <si>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</si>
  <si>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</si>
  <si>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Реконструкція  мережі зовнішнього освітлення прибудинкової території житлових будинків  №106;  №108; №110 по вул.Чехова в м. Черкаси</t>
  </si>
  <si>
    <t>Придбання та встановлення обладнання для дитячого майданчика у дворі будників по вул. Хрещатик 130, вул. Пушкіна 39 у м.Черкаси</t>
  </si>
  <si>
    <t>Реконструкція контейнерного майданчика для збору ТПВ за адресою вул. Амброса 72</t>
  </si>
  <si>
    <t>Будівництво контейнерного майданчика для збору ТПВ за адресою вул. Амброса 92</t>
  </si>
  <si>
    <t>Будівництво контейнерного майданчика для збору ТПВ за адресою вул. Добровольського 6</t>
  </si>
  <si>
    <t>Найменування доходів</t>
  </si>
  <si>
    <t>План на 2020 рік</t>
  </si>
  <si>
    <r>
      <t>24110700</t>
    </r>
    <r>
      <rPr>
        <sz val="14"/>
        <rFont val="Times New Roman"/>
        <family val="1"/>
      </rPr>
      <t xml:space="preserve"> Плата за гарантії, надані Верховною Радою Автономної Республіки Крим та міськими радами  </t>
    </r>
  </si>
  <si>
    <r>
      <t>24170000</t>
    </r>
    <r>
      <rPr>
        <sz val="14"/>
        <rFont val="Times New Roman"/>
        <family val="1"/>
      </rPr>
      <t xml:space="preserve"> Надходження коштів пайової участі у розвитку інфраструктури населеного пункту</t>
    </r>
  </si>
  <si>
    <r>
      <t>31030000</t>
    </r>
    <r>
      <rPr>
        <sz val="14"/>
        <rFont val="Times New Roman"/>
        <family val="1"/>
      </rPr>
      <t xml:space="preserve"> Кошти від відчуження майна, що належить Автономній Республіці Крим та майна, що перебуває в комунальній власності  </t>
    </r>
  </si>
  <si>
    <r>
      <t>33010000</t>
    </r>
    <r>
      <rPr>
        <sz val="14"/>
        <rFont val="Times New Roman"/>
        <family val="1"/>
      </rPr>
      <t xml:space="preserve"> Кошти від продажу землі  </t>
    </r>
  </si>
  <si>
    <t>ВСЬОГО ДОХОДІВ ПО БЮДЖЕТУ РОЗВИТКУ</t>
  </si>
  <si>
    <r>
      <t>602400</t>
    </r>
    <r>
      <rPr>
        <sz val="14"/>
        <rFont val="Times New Roman"/>
        <family val="1"/>
      </rPr>
      <t xml:space="preserve"> Кошти, що предаються із загального фонду бюджету до бюджету розвитку (спеціального фонду) </t>
    </r>
  </si>
  <si>
    <t>Повернення коштів,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</si>
  <si>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ВСЬОГО ДЖЕРЕЛА ФІНАНСУВАННЯ</t>
  </si>
  <si>
    <t>Залишок коштів станом на 01.01.2020 року</t>
  </si>
  <si>
    <t>Надійшло</t>
  </si>
  <si>
    <t>Розміщено на депозиті</t>
  </si>
  <si>
    <t>Залишок коштів до розподілу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</si>
  <si>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групах закладів дошкільної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</si>
  <si>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інклюзивних та спеціальних класах закладів загальної середньої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</si>
  <si>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інтерактивної дошки, проектора, ноутбука для СШ № 20</t>
  </si>
  <si>
    <t>Придбання навчального обладнання для закладів загальної середньої освіти</t>
  </si>
  <si>
    <t>Придбання інтерактивної дошки для ЗОШ № 2</t>
  </si>
  <si>
    <t>Придбання ноутбуку для ПНЗ БМЦ ЧМР</t>
  </si>
  <si>
    <t>Придбання принтеру для ПНЗ БМЦ ЧМР</t>
  </si>
  <si>
    <t>Придбання телевізору для ПНЗ БМЦ ЧМР</t>
  </si>
  <si>
    <t>Придбання комплекту наборів для гри в шахи ПНЗ БМЦ ЧМР</t>
  </si>
  <si>
    <t>Придбання спеціальних засобів корекції психофізичного розвитку, що дають змогу опанувати навчальну програму, для осіб з особливими освітніми потребами, які здобувають освіту в спеціальних групах закладів професійної (професійно-технічної) освіти (за рахунок залишку коштів субвенції з державного бюджету для надання державної підтримки особам з особливими освітніми потребами)</t>
  </si>
  <si>
    <t>Придбання музичних інструментів для ДМШ № 1 ім. М.В. Лисенка</t>
  </si>
  <si>
    <t>Придбання музичних інструментів для ДМШ № 2</t>
  </si>
  <si>
    <t>Придбання музичних інструментів для ДМШ № 3</t>
  </si>
  <si>
    <t>Придбання музичних інструментів для ДМШ № 5</t>
  </si>
  <si>
    <t>Придбання музичних інструментів для Дитячої школи мистецтв</t>
  </si>
  <si>
    <t>Реконструкція будівлі ДНЗ № 54</t>
  </si>
  <si>
    <t>Капітальний ремонт прилеглої території ДНЗ № 29</t>
  </si>
  <si>
    <t xml:space="preserve">Реконструкція будівлі (спортивний зал) ЗОШ № 5 </t>
  </si>
  <si>
    <t>Капітальний ремонт будівлі ФІМЛІ ЧМР</t>
  </si>
  <si>
    <t>Капітальний ремонт будівлі (вхідна група) для шахового клубу ПНЗ БМЦ ЧМР</t>
  </si>
  <si>
    <t>Капітальний ремонт будівлі (санітарні вузли) СШ № 20</t>
  </si>
  <si>
    <t>Капітальний ремонт будівлі ЗОШ № 2</t>
  </si>
  <si>
    <t>Реконструкція будівлі ЧМЦБ ім. Лесі Українки</t>
  </si>
  <si>
    <t>Капітальний ремонт будівлі по вул. В.Чорновола, 54/1 для проведеня навчально-тренувальних занять відділень ДЮСШ в м. Черкаси (виготовлення енергетичного сертифікату)</t>
  </si>
  <si>
    <t xml:space="preserve">Капітальний ремонт будівлі КНП "Перша Черкаська міська лікарня" (операційний блок) за адресою м. Черкаси, вул. Дахнівська, 32 </t>
  </si>
  <si>
    <t xml:space="preserve">Капітальний ремонт будівлі КНП "Перша Черкаська міська лікарня" (рентгенівського кабінету № 2) по вул. Дахнівська, 32 м. Черкаси </t>
  </si>
  <si>
    <t>Придбання обладнання і предметів довгострокового користування для КНП "Друга Черкаська міська лікарня відновного лікування"</t>
  </si>
  <si>
    <t>Капітальний ремонт будівлі КНП «Друга Черкаська міська лікарня відновного лікування» (встановлення протипожежної  сигналізації)</t>
  </si>
  <si>
    <t>Придбання проектора з екраном для КП "МСК "Дніпро" вул.Смілянська, 78</t>
  </si>
  <si>
    <t>Придбання відеокамери для КП "МСК "Дніпро" вул.Смілянська, 78</t>
  </si>
  <si>
    <t>Придбання комп'ютерної, копіювальної та іншої оргтехніки для КП "МСК "Дніпро" вул.Смілянська, 78</t>
  </si>
  <si>
    <t>Будівництво стадіону в районі вул. М. Грушевського та вул. Добровольчих батальйонів в м. Черкаси (з ПКД)</t>
  </si>
  <si>
    <t xml:space="preserve">Капітальний ремонт будівлі спортивного комплексу з басейном (плавальний басейн) КП «МСК "Дніпро" вул. Смілянська, 78 м.Черкаси (з ПКД) </t>
  </si>
  <si>
    <t>Придбання переносних трибун в ігровий зал  КП «МСК "Дніпро"» вул. Смілянська, 78</t>
  </si>
  <si>
    <t xml:space="preserve">Придбання багатофункціонального електронного табло ТВ 23-2 для  КП «МСК "Дніпро"» вул. Смілянська, 78 </t>
  </si>
  <si>
    <t>Придбання лічильників води ДУ 80 обладнаних радіомодулем  для  КП «МСК "Дніпро"» вул. Смілянська, 78</t>
  </si>
  <si>
    <t>Будівництво мультифункціонального майданчика для занять ігровими видами спорту за адресою: вулиця Героїв Дніпра в м. Черкаси</t>
  </si>
  <si>
    <t>0619770</t>
  </si>
  <si>
    <t>Інші субвенції з місцевого бюджету</t>
  </si>
  <si>
    <t>Надання субвенції з місцевого бюджету на придбання сценічних костюмів капелі бандуристів комунального закладу «Об’єднання художніх колективів» Черкаської обласної ради» для участі у відкритому міському фестивалі бандурного мистецтва «Cherkasy Bandura Music Fest»</t>
  </si>
  <si>
    <t>Придбання обладнання і предметів довгострокового користування (комп’ютерна техніка, оргтехніка, кондиціонери, реабілітаційне обладнання) для центру комплексної реабілітації для осіб з інвалідністю «Жага життя»</t>
  </si>
  <si>
    <t>Придбання та встановлення обладнання для дитячого майданчика за адресою вул. Хрещатик 55 у м.Черкаси</t>
  </si>
  <si>
    <t>Капітальний ремонт будівлі по вул. Хоменка, 19 в м. Черкаси</t>
  </si>
  <si>
    <t>Будівництво мережі зовнішнього освітлення пішохідної алеї по вул. Менделєєва</t>
  </si>
  <si>
    <t>Будівництво мережі зовнішнього освітлення велодоріжки по вул. Менделєєва</t>
  </si>
  <si>
    <t>Капітальний ремонт житлового будинку по вул. Благовісна, 180 (покрівля)</t>
  </si>
  <si>
    <t>Розробка детального плану території Замкового узвозу</t>
  </si>
  <si>
    <t>Реконструкція вул. Гагаріна від вул. С.Жужоми до вул. С.Смірнова м. Черкаси</t>
  </si>
  <si>
    <t>1619770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</si>
  <si>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м. Черкасах з метою ліквідації наслідків надзвичайної ситуації техногенного характеру внаслідок пожежі, яка сталася 01.07.2015 в приміщенні театру. ІІ черга"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</si>
  <si>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</si>
  <si>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</si>
  <si>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2019-2021 роки (придбання комп'ютерної та оргтехніки, технічного оснащення ЦОП) </t>
  </si>
  <si>
    <t>Придбання спортивних товарів та інвентарю для ДЮСШ м. Черкаси (в т.ч. субвенція з державного бюджету на соціально-економічний розвиток - 173 830,39 грн)</t>
  </si>
  <si>
    <t>Капітальний ремонт прилеглої території (спортивний майданчик) Черкаської спеціалізованої школи І-ІІІ ступенів № 13 Черкаської міської ради за адресою вул. Гетьмана Сагайдачного, 146 в м. Черкаси (в т.ч. субвенція з державного бюджету на соціально-економічний розвиток - 8 010,66 грн)</t>
  </si>
  <si>
    <t>Капітальний ремонт прилеглої території (спортивний майданчик) Черкаської загальноосвітньої школи І-ІІІ ступенів № 22 Черкаської міської ради за адресою вул. Кобзарська, 108 в м. Черкаси (в т.ч. субвенція з державного бюджету на соціально-економічний розвиток - 1 181,79 грн)</t>
  </si>
  <si>
    <t>Капітальний ремонт прилеглої території (спортивний майданчик) Черкаської загальноосвітньої школи І-ІІІ ступенів № 25 Черкаської міської ради за адресою вул. Нарбутівська, 206 в м. Черкаси (в т.ч. субвенція з державного бюджету на соціально-економічний розвиток - 895,63 грн)</t>
  </si>
  <si>
    <t>Реконструкція прилеглої території (покриття синтетична трава) Черкаської гімназії № 31 за адресою вул. Героїв Дніпра, 27 Черкаської міської ради в м. Черкаси (в т.ч. субвенція з державного бюджету на соціально-економічний розвиток - 1 171,85 грн)</t>
  </si>
  <si>
    <t>Придбання кріосауни для КП "МСК "Дніпро" ЧМР</t>
  </si>
  <si>
    <t>Придбання комплекту обладнання "смуга перешкод" для КП "МСК "Дніпро" ЧМР</t>
  </si>
  <si>
    <t>Придбання пресу прасувального для КП "МСК "Дніпро" вул.Смілянська, 78</t>
  </si>
  <si>
    <t>Придбання пральної машини для КП "МСК "Дніпро" вул.Смілянська, 78</t>
  </si>
  <si>
    <t>Придбання машини для сушки постільної білизни для КП "МСК "Дніпро" вул.Смілянська, 78</t>
  </si>
  <si>
    <t>Придбання автобуса для КП "МСК "Дніпро"</t>
  </si>
  <si>
    <t>Внески в статутний капітал  КП "МСК "Дніпро", в т.ч.:</t>
  </si>
  <si>
    <t>Капітальний ремонт системи опалення житлового будинку (встановлення циркуляційного насосу з погодозалежним регулятором температури) по вул. В. Чорновола, 9, м. Черкаси</t>
  </si>
  <si>
    <t>Капітальний ремонт прибудинкової території житлового будинку по вул. В. Чорновола, 122/41 в м. Черкаси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</si>
  <si>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- 38 488,35 грн)</t>
  </si>
  <si>
    <t>Капітальний ремонт вул. Десантників (тротуар, парна, непарна сторона) від  вул. Вернигори до вул. Хоменка</t>
  </si>
  <si>
    <t>Капітальний ремонт вул. Гоголя (тротуар, парна та непарна сторона, від вул. Казбетська до вул. Крилова)</t>
  </si>
  <si>
    <t>Капітальний ремонт дитячого та спортивного майданчиків  у дворі будинку по вул. Героїв Дніпра, 69, м. Черкаси</t>
  </si>
  <si>
    <t>Реконструкція бул. Шевченка від вул. Лазарєва до вул. Б.Вишневецького м. Черкаси</t>
  </si>
  <si>
    <t>Капітальний ремонт бульв. Шевченка від вул. Університетської до вул. Можайського</t>
  </si>
  <si>
    <t>Реконструкція вул. Новопречистенська від вул. Гетьмана Сагайдачного до вул. С. Амброса в м. Черкаси (виготовлення ПКД)</t>
  </si>
  <si>
    <t>Капітальний ремонт  внутрішньоквартального проїзду по вул. Гетьмана Сагайдачного  від буд. 243 до  вул. Подолинського, 24 м. Черкаси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</si>
  <si>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з них:</t>
  </si>
  <si>
    <t>Реконструкція прилеглої території (благоустрій) ДНЗ № 22</t>
  </si>
  <si>
    <t>Капітальний ремонт будівлі (покрівля) ЗОШ № 10</t>
  </si>
  <si>
    <t>Придбання мультимедійної дошки, проектора, телевізора для ЗОШ №21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</si>
  <si>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</si>
  <si>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</si>
  <si>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стадіону (футбольного поля із поліуретановим покриттям розміром 60x40 м, легкоатлетичними доріжками, трибунами та освітленням) у Черкаській загальноосвітній школі І-ІІІ ступенів №29 Черкаської міської ради Черкаської області, за адресою: вул. Карбишева, 5 м.Черкаси</t>
  </si>
  <si>
    <t>Придбання обладнання і предметів довгострокового користування (медичне обладнання) для КНП "Черкаська міська інфекційна лікарня"</t>
  </si>
  <si>
    <t>Будівництво контейнерного майданчика для збору ТПВ по вул. Генерала Момота, 7, 9, 11</t>
  </si>
  <si>
    <t>Реконструкція мережі водопостачання в районі будинків № 162-170 по вулиці Грушевського</t>
  </si>
  <si>
    <t>Капітальний ремонт парку "Європейський" (благоустрій території)</t>
  </si>
  <si>
    <t>Будівництво локальних очисних споруд для очищення зливових (дощових) та талих вод на витоку по вул. Університетської в м. Черкаси</t>
  </si>
  <si>
    <t>Придбання дорожнього пилосмоку</t>
  </si>
  <si>
    <t>Придбання декоративних скульптур "Муляж пішохода"</t>
  </si>
  <si>
    <t>Надання субвенції з місцевого бюджету 2-му державному пожежно-рятувальному загону УДСНС України у Черкаській області для придбання  костюмів спеціальних захисних для пожежних</t>
  </si>
  <si>
    <t>1218110</t>
  </si>
  <si>
    <t>Заходи із запобігання та ліквідації надзвичайних ситуацій та наслідків стихійного лиха</t>
  </si>
  <si>
    <t>Придбання оприскувачів (бензинових)</t>
  </si>
  <si>
    <t xml:space="preserve">Придбання системи відеоспостереження з можливістю дистанційного скринінгу температури </t>
  </si>
  <si>
    <t>Капітальний ремонт будівлі ДНЗ № 91 (мощення, тротуарна плитка)</t>
  </si>
  <si>
    <t>Придбання обладнання і предметів довгострокового користування (медичне обладнання) для КНП "Черкаська міська інфекційна лікарня" (за рахунок субвенції з обласного бюджету на покращення матеріально-технічного стану закладів охорони здоров'я області - 91 000,00 грн)</t>
  </si>
  <si>
    <t>Внески в статутний капітал  КНП "Черкаська міська дитяча лікарня", в т.ч.:</t>
  </si>
  <si>
    <t>Придбання обладнання і предметів довгострокового користування (медичне обладнання) для КНП "Черкаська міська дитяча лікарня" (за рахунок субвенції з обласного бюджету на покращення матеріально-технічного стану закладів охорони здоров'я області - 234 000,00 грн)</t>
  </si>
  <si>
    <t>Придбання обладнання і предметів довгострокового користування (медичне обладнання) для КНП «Черкаська міська дитяча лікарня»</t>
  </si>
  <si>
    <t xml:space="preserve">41053900 Інші субвенції (на покращення матеріально-технічного стану закладів охорони здоров’я області) </t>
  </si>
  <si>
    <t>Внески в статутний капітал КНП "Черкаський міський пологовий будинок "Центр матері та дитини", в т.ч.:</t>
  </si>
  <si>
    <t>Придбання обладнання  і предметів довгострокового користування (медичне обладнання) для КНП "Черкаський міський пологовий будинок "Центр матері та дитини"</t>
  </si>
  <si>
    <t>Внески в статутний капітал КНП "Черкаська міська консультативно-діагностична поліклініка", в т.ч.:</t>
  </si>
  <si>
    <t>Придбання обладнання і предметів довгострокового користування (медичне обладнання) для КНП «Черкаська міська консультативно-діагностична поліклініка»</t>
  </si>
  <si>
    <t>Капітальний ремонт прилеглої території (укладання тротуарної плитки) по бул. Шевченка, 307</t>
  </si>
  <si>
    <t>Капітальний ремонт нежитлової будівлі комунальної власності (художнє освітлення будівлі за адресою вул. Хрещатик, 259)</t>
  </si>
  <si>
    <t>Придбання обладнання  і предметів довгострокового користування (комп'ютерне обладнання, медичне обладнання)  для КНП "Перша Черкаська міська лікарня" з них:</t>
  </si>
  <si>
    <t>на боротьбу з COVID-19</t>
  </si>
  <si>
    <t>Придбання обладнання  і предметів довгострокового користування (комп'ютерне обладнання, сервер,  медичне обладнання) для КНП "Третя Черкаська міська лікарня швидкої медичної допомоги" (за рахунок залишку коштів субвенції на здійснення переданих видатків у сфері охорони здоров’я за рахунок коштів медичної субвенції - 1 199 509,70 грн), з них:</t>
  </si>
  <si>
    <t>Профінансовано на 29.04.20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</si>
</sst>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  <numFmt numFmtId="211" formatCode="0.00000"/>
    <numFmt numFmtId="212" formatCode="0.0000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209" fontId="3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2" fillId="0" borderId="12" xfId="0" applyNumberFormat="1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>
      <alignment horizontal="center"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4" fontId="32" fillId="0" borderId="13" xfId="0" applyNumberFormat="1" applyFont="1" applyFill="1" applyBorder="1" applyAlignment="1">
      <alignment horizontal="center" vertical="center" wrapText="1"/>
    </xf>
    <xf numFmtId="4" fontId="30" fillId="0" borderId="13" xfId="167" applyNumberFormat="1" applyFont="1" applyFill="1" applyBorder="1" applyAlignment="1">
      <alignment horizontal="center" vertical="center"/>
      <protection/>
    </xf>
    <xf numFmtId="4" fontId="32" fillId="24" borderId="13" xfId="167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0" fillId="26" borderId="13" xfId="167" applyNumberFormat="1" applyFont="1" applyFill="1" applyBorder="1" applyAlignment="1">
      <alignment horizontal="center" vertical="center"/>
      <protection/>
    </xf>
    <xf numFmtId="49" fontId="32" fillId="24" borderId="13" xfId="0" applyNumberFormat="1" applyFont="1" applyFill="1" applyBorder="1" applyAlignment="1" applyProtection="1">
      <alignment horizontal="center" vertical="center"/>
      <protection/>
    </xf>
    <xf numFmtId="0" fontId="32" fillId="24" borderId="13" xfId="0" applyFont="1" applyFill="1" applyBorder="1" applyAlignment="1">
      <alignment horizontal="center" vertical="center" wrapText="1"/>
    </xf>
    <xf numFmtId="4" fontId="32" fillId="26" borderId="13" xfId="167" applyNumberFormat="1" applyFont="1" applyFill="1" applyBorder="1" applyAlignment="1">
      <alignment horizontal="center" vertical="center"/>
      <protection/>
    </xf>
    <xf numFmtId="4" fontId="33" fillId="13" borderId="13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left" vertical="center" wrapText="1"/>
    </xf>
    <xf numFmtId="185" fontId="30" fillId="26" borderId="13" xfId="167" applyNumberFormat="1" applyFont="1" applyFill="1" applyBorder="1" applyAlignment="1">
      <alignment horizontal="left" vertical="center" wrapText="1"/>
      <protection/>
    </xf>
    <xf numFmtId="185" fontId="30" fillId="24" borderId="13" xfId="167" applyNumberFormat="1" applyFont="1" applyFill="1" applyBorder="1" applyAlignment="1">
      <alignment horizontal="left" vertical="center" wrapText="1"/>
      <protection/>
    </xf>
    <xf numFmtId="0" fontId="30" fillId="26" borderId="13" xfId="229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9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Font="1" applyFill="1" applyBorder="1" applyAlignment="1">
      <alignment horizontal="center" vertical="center" wrapText="1"/>
    </xf>
    <xf numFmtId="4" fontId="32" fillId="27" borderId="13" xfId="0" applyNumberFormat="1" applyFont="1" applyFill="1" applyBorder="1" applyAlignment="1">
      <alignment horizontal="center" vertical="center" wrapText="1"/>
    </xf>
    <xf numFmtId="49" fontId="32" fillId="27" borderId="13" xfId="0" applyNumberFormat="1" applyFont="1" applyFill="1" applyBorder="1" applyAlignment="1" applyProtection="1">
      <alignment horizontal="center" vertical="center"/>
      <protection/>
    </xf>
    <xf numFmtId="0" fontId="30" fillId="27" borderId="13" xfId="229" applyFont="1" applyFill="1" applyBorder="1" applyAlignment="1">
      <alignment horizontal="left" vertical="center" wrapText="1"/>
      <protection/>
    </xf>
    <xf numFmtId="0" fontId="30" fillId="28" borderId="13" xfId="229" applyFont="1" applyFill="1" applyBorder="1" applyAlignment="1">
      <alignment horizontal="left" vertical="center" wrapText="1"/>
      <protection/>
    </xf>
    <xf numFmtId="4" fontId="30" fillId="28" borderId="13" xfId="167" applyNumberFormat="1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/>
    </xf>
    <xf numFmtId="4" fontId="32" fillId="28" borderId="13" xfId="167" applyNumberFormat="1" applyFont="1" applyFill="1" applyBorder="1" applyAlignment="1">
      <alignment horizontal="center" vertical="center"/>
      <protection/>
    </xf>
    <xf numFmtId="4" fontId="32" fillId="27" borderId="13" xfId="167" applyNumberFormat="1" applyFont="1" applyFill="1" applyBorder="1" applyAlignment="1">
      <alignment horizontal="center" vertical="center"/>
      <protection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2" fillId="26" borderId="13" xfId="0" applyFont="1" applyFill="1" applyBorder="1" applyAlignment="1">
      <alignment horizontal="left" vertical="center" wrapText="1"/>
    </xf>
    <xf numFmtId="49" fontId="32" fillId="27" borderId="13" xfId="0" applyNumberFormat="1" applyFont="1" applyFill="1" applyBorder="1" applyAlignment="1" applyProtection="1">
      <alignment horizontal="center" vertical="top" wrapText="1"/>
      <protection/>
    </xf>
    <xf numFmtId="0" fontId="32" fillId="27" borderId="13" xfId="0" applyNumberFormat="1" applyFont="1" applyFill="1" applyBorder="1" applyAlignment="1" applyProtection="1">
      <alignment horizontal="center" vertical="top" wrapText="1"/>
      <protection/>
    </xf>
    <xf numFmtId="185" fontId="30" fillId="27" borderId="13" xfId="167" applyNumberFormat="1" applyFont="1" applyFill="1" applyBorder="1" applyAlignment="1">
      <alignment horizontal="left" vertical="center" wrapText="1"/>
      <protection/>
    </xf>
    <xf numFmtId="4" fontId="30" fillId="0" borderId="13" xfId="0" applyNumberFormat="1" applyFont="1" applyBorder="1" applyAlignment="1">
      <alignment horizontal="center" vertical="center" wrapText="1"/>
    </xf>
    <xf numFmtId="4" fontId="30" fillId="28" borderId="13" xfId="0" applyNumberFormat="1" applyFont="1" applyFill="1" applyBorder="1" applyAlignment="1">
      <alignment horizontal="center" vertical="center" wrapText="1"/>
    </xf>
    <xf numFmtId="0" fontId="30" fillId="28" borderId="13" xfId="0" applyFont="1" applyFill="1" applyBorder="1" applyAlignment="1">
      <alignment horizontal="left" vertical="center" wrapText="1"/>
    </xf>
    <xf numFmtId="4" fontId="32" fillId="24" borderId="13" xfId="0" applyNumberFormat="1" applyFont="1" applyFill="1" applyBorder="1" applyAlignment="1" applyProtection="1">
      <alignment horizontal="center" vertical="center"/>
      <protection/>
    </xf>
    <xf numFmtId="194" fontId="30" fillId="28" borderId="13" xfId="167" applyNumberFormat="1" applyFont="1" applyFill="1" applyBorder="1" applyAlignment="1">
      <alignment horizontal="center" vertical="center"/>
      <protection/>
    </xf>
    <xf numFmtId="185" fontId="30" fillId="28" borderId="13" xfId="167" applyNumberFormat="1" applyFont="1" applyFill="1" applyBorder="1" applyAlignment="1">
      <alignment horizontal="left" vertical="center" wrapText="1"/>
      <protection/>
    </xf>
    <xf numFmtId="0" fontId="30" fillId="28" borderId="13" xfId="228" applyFont="1" applyFill="1" applyBorder="1" applyAlignment="1">
      <alignment horizontal="left" vertical="top" wrapText="1"/>
      <protection/>
    </xf>
    <xf numFmtId="0" fontId="30" fillId="28" borderId="13" xfId="0" applyFont="1" applyFill="1" applyBorder="1" applyAlignment="1">
      <alignment horizontal="left" vertical="top" wrapText="1"/>
    </xf>
    <xf numFmtId="185" fontId="32" fillId="27" borderId="13" xfId="167" applyNumberFormat="1" applyFont="1" applyFill="1" applyBorder="1" applyAlignment="1">
      <alignment horizontal="center" vertical="center" wrapText="1"/>
      <protection/>
    </xf>
    <xf numFmtId="194" fontId="32" fillId="28" borderId="13" xfId="167" applyNumberFormat="1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 horizontal="left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32" fillId="28" borderId="13" xfId="0" applyNumberFormat="1" applyFont="1" applyFill="1" applyBorder="1" applyAlignment="1">
      <alignment horizontal="center" vertical="center" wrapText="1"/>
    </xf>
    <xf numFmtId="0" fontId="32" fillId="28" borderId="13" xfId="0" applyFont="1" applyFill="1" applyBorder="1" applyAlignment="1">
      <alignment horizontal="left" vertical="center" wrapText="1"/>
    </xf>
    <xf numFmtId="0" fontId="32" fillId="28" borderId="13" xfId="232" applyFont="1" applyFill="1" applyBorder="1" applyAlignment="1">
      <alignment horizontal="left" vertical="center" wrapText="1"/>
      <protection/>
    </xf>
    <xf numFmtId="0" fontId="30" fillId="28" borderId="13" xfId="232" applyFont="1" applyFill="1" applyBorder="1" applyAlignment="1">
      <alignment horizontal="left" vertical="center" wrapText="1"/>
      <protection/>
    </xf>
    <xf numFmtId="4" fontId="32" fillId="27" borderId="13" xfId="167" applyNumberFormat="1" applyFont="1" applyFill="1" applyBorder="1" applyAlignment="1">
      <alignment horizontal="center" vertical="center" wrapText="1"/>
      <protection/>
    </xf>
    <xf numFmtId="0" fontId="32" fillId="28" borderId="13" xfId="229" applyFont="1" applyFill="1" applyBorder="1" applyAlignment="1">
      <alignment horizontal="left" vertical="center" wrapText="1"/>
      <protection/>
    </xf>
    <xf numFmtId="185" fontId="32" fillId="28" borderId="13" xfId="167" applyNumberFormat="1" applyFont="1" applyFill="1" applyBorder="1" applyAlignment="1">
      <alignment horizontal="left" vertical="center" wrapText="1"/>
      <protection/>
    </xf>
    <xf numFmtId="185" fontId="30" fillId="0" borderId="13" xfId="167" applyNumberFormat="1" applyFont="1" applyFill="1" applyBorder="1" applyAlignment="1">
      <alignment horizontal="left" vertical="center" wrapText="1"/>
      <protection/>
    </xf>
    <xf numFmtId="4" fontId="32" fillId="0" borderId="13" xfId="167" applyNumberFormat="1" applyFont="1" applyFill="1" applyBorder="1" applyAlignment="1">
      <alignment horizontal="center" vertical="center"/>
      <protection/>
    </xf>
    <xf numFmtId="0" fontId="30" fillId="0" borderId="13" xfId="0" applyFont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/>
    </xf>
    <xf numFmtId="0" fontId="30" fillId="0" borderId="13" xfId="229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wrapText="1"/>
    </xf>
    <xf numFmtId="0" fontId="30" fillId="0" borderId="13" xfId="230" applyFont="1" applyFill="1" applyBorder="1" applyAlignment="1">
      <alignment horizontal="left" vertical="top" wrapText="1"/>
      <protection/>
    </xf>
    <xf numFmtId="0" fontId="30" fillId="28" borderId="13" xfId="230" applyFont="1" applyFill="1" applyBorder="1" applyAlignment="1">
      <alignment horizontal="left" vertical="top" wrapText="1"/>
      <protection/>
    </xf>
    <xf numFmtId="185" fontId="43" fillId="26" borderId="13" xfId="167" applyNumberFormat="1" applyFont="1" applyFill="1" applyBorder="1" applyAlignment="1">
      <alignment horizontal="left" vertical="center" wrapText="1"/>
      <protection/>
    </xf>
    <xf numFmtId="0" fontId="43" fillId="28" borderId="13" xfId="0" applyFont="1" applyFill="1" applyBorder="1" applyAlignment="1">
      <alignment horizontal="left" vertical="center" wrapText="1"/>
    </xf>
    <xf numFmtId="185" fontId="43" fillId="28" borderId="13" xfId="167" applyNumberFormat="1" applyFont="1" applyFill="1" applyBorder="1" applyAlignment="1">
      <alignment horizontal="left" vertical="center" wrapText="1"/>
      <protection/>
    </xf>
    <xf numFmtId="0" fontId="43" fillId="28" borderId="13" xfId="0" applyFont="1" applyFill="1" applyBorder="1" applyAlignment="1">
      <alignment horizontal="left" vertical="top" wrapText="1"/>
    </xf>
    <xf numFmtId="0" fontId="43" fillId="26" borderId="13" xfId="0" applyFont="1" applyFill="1" applyBorder="1" applyAlignment="1">
      <alignment horizontal="left" vertical="center" wrapText="1"/>
    </xf>
    <xf numFmtId="0" fontId="43" fillId="0" borderId="13" xfId="230" applyFont="1" applyFill="1" applyBorder="1" applyAlignment="1">
      <alignment horizontal="left" vertical="top" wrapText="1"/>
      <protection/>
    </xf>
    <xf numFmtId="0" fontId="43" fillId="28" borderId="13" xfId="230" applyFont="1" applyFill="1" applyBorder="1" applyAlignment="1">
      <alignment horizontal="left" vertical="top" wrapText="1"/>
      <protection/>
    </xf>
    <xf numFmtId="0" fontId="43" fillId="0" borderId="13" xfId="0" applyFont="1" applyBorder="1" applyAlignment="1">
      <alignment horizontal="left" vertical="center" wrapText="1"/>
    </xf>
    <xf numFmtId="0" fontId="30" fillId="28" borderId="13" xfId="0" applyFont="1" applyFill="1" applyBorder="1" applyAlignment="1">
      <alignment wrapText="1"/>
    </xf>
    <xf numFmtId="0" fontId="30" fillId="28" borderId="13" xfId="0" applyFont="1" applyFill="1" applyBorder="1" applyAlignment="1">
      <alignment vertical="top" wrapText="1"/>
    </xf>
    <xf numFmtId="191" fontId="30" fillId="28" borderId="13" xfId="0" applyNumberFormat="1" applyFont="1" applyFill="1" applyBorder="1" applyAlignment="1">
      <alignment horizontal="center" vertical="center" wrapText="1"/>
    </xf>
    <xf numFmtId="0" fontId="32" fillId="28" borderId="13" xfId="0" applyFont="1" applyFill="1" applyBorder="1" applyAlignment="1">
      <alignment horizontal="center" vertical="center" wrapText="1"/>
    </xf>
    <xf numFmtId="0" fontId="30" fillId="0" borderId="13" xfId="233" applyFont="1" applyFill="1" applyBorder="1" applyAlignment="1">
      <alignment horizontal="left" vertical="top" wrapText="1"/>
      <protection/>
    </xf>
    <xf numFmtId="0" fontId="30" fillId="0" borderId="13" xfId="0" applyFont="1" applyBorder="1" applyAlignment="1">
      <alignment horizontal="justify" vertical="center" wrapText="1"/>
    </xf>
    <xf numFmtId="0" fontId="0" fillId="0" borderId="13" xfId="0" applyFont="1" applyFill="1" applyBorder="1" applyAlignment="1">
      <alignment/>
    </xf>
    <xf numFmtId="0" fontId="33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 wrapText="1" shrinkToFit="1"/>
    </xf>
    <xf numFmtId="4" fontId="33" fillId="24" borderId="13" xfId="0" applyNumberFormat="1" applyFont="1" applyFill="1" applyBorder="1" applyAlignment="1">
      <alignment horizontal="center" vertical="center" wrapText="1" shrinkToFit="1"/>
    </xf>
    <xf numFmtId="4" fontId="33" fillId="0" borderId="13" xfId="0" applyNumberFormat="1" applyFont="1" applyFill="1" applyBorder="1" applyAlignment="1">
      <alignment horizontal="center" vertical="center" wrapText="1" shrinkToFit="1"/>
    </xf>
    <xf numFmtId="4" fontId="32" fillId="0" borderId="14" xfId="0" applyNumberFormat="1" applyFont="1" applyFill="1" applyBorder="1" applyAlignment="1">
      <alignment horizontal="center" vertical="center" wrapText="1"/>
    </xf>
    <xf numFmtId="4" fontId="30" fillId="26" borderId="14" xfId="167" applyNumberFormat="1" applyFont="1" applyFill="1" applyBorder="1" applyAlignment="1">
      <alignment horizontal="center" vertical="center"/>
      <protection/>
    </xf>
    <xf numFmtId="4" fontId="33" fillId="24" borderId="14" xfId="0" applyNumberFormat="1" applyFont="1" applyFill="1" applyBorder="1" applyAlignment="1">
      <alignment horizontal="center" vertical="center" wrapText="1" shrinkToFit="1"/>
    </xf>
    <xf numFmtId="49" fontId="32" fillId="0" borderId="13" xfId="0" applyNumberFormat="1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28" borderId="13" xfId="0" applyFont="1" applyFill="1" applyBorder="1" applyAlignment="1">
      <alignment horizontal="center" vertical="center" wrapText="1"/>
    </xf>
    <xf numFmtId="0" fontId="43" fillId="28" borderId="13" xfId="229" applyFont="1" applyFill="1" applyBorder="1" applyAlignment="1">
      <alignment horizontal="left" vertical="center" wrapText="1"/>
      <protection/>
    </xf>
    <xf numFmtId="0" fontId="43" fillId="28" borderId="13" xfId="0" applyFont="1" applyFill="1" applyBorder="1" applyAlignment="1">
      <alignment wrapText="1"/>
    </xf>
    <xf numFmtId="0" fontId="30" fillId="28" borderId="13" xfId="233" applyFont="1" applyFill="1" applyBorder="1" applyAlignment="1">
      <alignment horizontal="left" vertical="top" wrapText="1"/>
      <protection/>
    </xf>
    <xf numFmtId="0" fontId="30" fillId="28" borderId="13" xfId="231" applyFont="1" applyFill="1" applyBorder="1" applyAlignment="1">
      <alignment horizontal="left" vertical="center" wrapText="1"/>
      <protection/>
    </xf>
    <xf numFmtId="0" fontId="43" fillId="28" borderId="13" xfId="233" applyFont="1" applyFill="1" applyBorder="1" applyAlignment="1">
      <alignment horizontal="left" vertical="top" wrapText="1"/>
      <protection/>
    </xf>
    <xf numFmtId="0" fontId="30" fillId="28" borderId="13" xfId="0" applyFont="1" applyFill="1" applyBorder="1" applyAlignment="1">
      <alignment vertical="center" wrapText="1"/>
    </xf>
    <xf numFmtId="0" fontId="30" fillId="28" borderId="13" xfId="0" applyFont="1" applyFill="1" applyBorder="1" applyAlignment="1">
      <alignment/>
    </xf>
    <xf numFmtId="0" fontId="40" fillId="0" borderId="15" xfId="0" applyFont="1" applyFill="1" applyBorder="1" applyAlignment="1">
      <alignment horizontal="left" vertical="top" wrapText="1" shrinkToFit="1"/>
    </xf>
    <xf numFmtId="0" fontId="40" fillId="0" borderId="16" xfId="0" applyFont="1" applyFill="1" applyBorder="1" applyAlignment="1">
      <alignment horizontal="left" vertical="top" wrapText="1" shrinkToFit="1"/>
    </xf>
    <xf numFmtId="0" fontId="32" fillId="28" borderId="17" xfId="0" applyFont="1" applyFill="1" applyBorder="1" applyAlignment="1">
      <alignment horizontal="center" vertical="top" wrapText="1"/>
    </xf>
    <xf numFmtId="0" fontId="32" fillId="28" borderId="18" xfId="0" applyFont="1" applyFill="1" applyBorder="1" applyAlignment="1">
      <alignment horizontal="center" vertical="top" wrapText="1"/>
    </xf>
    <xf numFmtId="0" fontId="32" fillId="28" borderId="19" xfId="0" applyFont="1" applyFill="1" applyBorder="1" applyAlignment="1">
      <alignment horizontal="center" vertical="top" wrapText="1"/>
    </xf>
    <xf numFmtId="49" fontId="32" fillId="28" borderId="20" xfId="0" applyNumberFormat="1" applyFont="1" applyFill="1" applyBorder="1" applyAlignment="1">
      <alignment horizontal="center" vertical="top" wrapText="1"/>
    </xf>
    <xf numFmtId="49" fontId="32" fillId="28" borderId="21" xfId="0" applyNumberFormat="1" applyFont="1" applyFill="1" applyBorder="1" applyAlignment="1">
      <alignment horizontal="center" vertical="top" wrapText="1"/>
    </xf>
    <xf numFmtId="49" fontId="32" fillId="28" borderId="22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left"/>
    </xf>
    <xf numFmtId="49" fontId="33" fillId="0" borderId="16" xfId="0" applyNumberFormat="1" applyFont="1" applyFill="1" applyBorder="1" applyAlignment="1">
      <alignment horizontal="left"/>
    </xf>
    <xf numFmtId="0" fontId="32" fillId="0" borderId="20" xfId="0" applyNumberFormat="1" applyFont="1" applyFill="1" applyBorder="1" applyAlignment="1" applyProtection="1">
      <alignment horizontal="center" vertical="top" wrapText="1"/>
      <protection/>
    </xf>
    <xf numFmtId="0" fontId="32" fillId="0" borderId="21" xfId="0" applyNumberFormat="1" applyFont="1" applyFill="1" applyBorder="1" applyAlignment="1" applyProtection="1">
      <alignment horizontal="center" vertical="top" wrapText="1"/>
      <protection/>
    </xf>
    <xf numFmtId="0" fontId="32" fillId="0" borderId="22" xfId="0" applyNumberFormat="1" applyFont="1" applyFill="1" applyBorder="1" applyAlignment="1" applyProtection="1">
      <alignment horizontal="center" vertical="top" wrapText="1"/>
      <protection/>
    </xf>
    <xf numFmtId="49" fontId="32" fillId="0" borderId="20" xfId="0" applyNumberFormat="1" applyFont="1" applyFill="1" applyBorder="1" applyAlignment="1" applyProtection="1">
      <alignment horizontal="center" vertical="top" wrapText="1"/>
      <protection/>
    </xf>
    <xf numFmtId="49" fontId="32" fillId="0" borderId="21" xfId="0" applyNumberFormat="1" applyFont="1" applyFill="1" applyBorder="1" applyAlignment="1" applyProtection="1">
      <alignment horizontal="center" vertical="top" wrapText="1"/>
      <protection/>
    </xf>
    <xf numFmtId="49" fontId="32" fillId="28" borderId="13" xfId="0" applyNumberFormat="1" applyFont="1" applyFill="1" applyBorder="1" applyAlignment="1" applyProtection="1">
      <alignment horizontal="center" vertical="top" wrapText="1"/>
      <protection/>
    </xf>
    <xf numFmtId="0" fontId="32" fillId="28" borderId="13" xfId="0" applyNumberFormat="1" applyFont="1" applyFill="1" applyBorder="1" applyAlignment="1" applyProtection="1">
      <alignment horizontal="center" vertical="top" wrapText="1"/>
      <protection/>
    </xf>
    <xf numFmtId="49" fontId="32" fillId="28" borderId="13" xfId="0" applyNumberFormat="1" applyFont="1" applyFill="1" applyBorder="1" applyAlignment="1" applyProtection="1">
      <alignment horizontal="center" vertical="top"/>
      <protection/>
    </xf>
    <xf numFmtId="0" fontId="32" fillId="28" borderId="13" xfId="0" applyFont="1" applyFill="1" applyBorder="1" applyAlignment="1">
      <alignment horizontal="center" vertical="top" wrapText="1"/>
    </xf>
    <xf numFmtId="49" fontId="32" fillId="28" borderId="20" xfId="0" applyNumberFormat="1" applyFont="1" applyFill="1" applyBorder="1" applyAlignment="1" applyProtection="1">
      <alignment horizontal="center" vertical="top" wrapText="1"/>
      <protection/>
    </xf>
    <xf numFmtId="49" fontId="32" fillId="28" borderId="22" xfId="0" applyNumberFormat="1" applyFont="1" applyFill="1" applyBorder="1" applyAlignment="1" applyProtection="1">
      <alignment horizontal="center" vertical="top" wrapText="1"/>
      <protection/>
    </xf>
    <xf numFmtId="0" fontId="32" fillId="28" borderId="20" xfId="0" applyNumberFormat="1" applyFont="1" applyFill="1" applyBorder="1" applyAlignment="1" applyProtection="1">
      <alignment horizontal="center" vertical="top" wrapText="1"/>
      <protection/>
    </xf>
    <xf numFmtId="0" fontId="32" fillId="28" borderId="22" xfId="0" applyNumberFormat="1" applyFont="1" applyFill="1" applyBorder="1" applyAlignment="1" applyProtection="1">
      <alignment horizontal="center" vertical="top" wrapText="1"/>
      <protection/>
    </xf>
    <xf numFmtId="49" fontId="32" fillId="28" borderId="13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 applyProtection="1">
      <alignment horizontal="center" vertical="top" wrapText="1"/>
      <protection/>
    </xf>
    <xf numFmtId="0" fontId="32" fillId="0" borderId="13" xfId="0" applyNumberFormat="1" applyFont="1" applyFill="1" applyBorder="1" applyAlignment="1" applyProtection="1">
      <alignment horizontal="center" vertical="top" wrapText="1"/>
      <protection/>
    </xf>
    <xf numFmtId="0" fontId="32" fillId="28" borderId="20" xfId="0" applyFont="1" applyFill="1" applyBorder="1" applyAlignment="1">
      <alignment horizontal="center" vertical="top" wrapText="1"/>
    </xf>
    <xf numFmtId="0" fontId="32" fillId="28" borderId="21" xfId="0" applyFont="1" applyFill="1" applyBorder="1" applyAlignment="1">
      <alignment horizontal="center" vertical="top" wrapText="1"/>
    </xf>
    <xf numFmtId="0" fontId="32" fillId="28" borderId="22" xfId="0" applyFont="1" applyFill="1" applyBorder="1" applyAlignment="1">
      <alignment horizontal="center" vertical="top" wrapText="1"/>
    </xf>
    <xf numFmtId="49" fontId="32" fillId="28" borderId="20" xfId="0" applyNumberFormat="1" applyFont="1" applyFill="1" applyBorder="1" applyAlignment="1" applyProtection="1">
      <alignment horizontal="center" vertical="top"/>
      <protection/>
    </xf>
    <xf numFmtId="49" fontId="32" fillId="28" borderId="21" xfId="0" applyNumberFormat="1" applyFont="1" applyFill="1" applyBorder="1" applyAlignment="1" applyProtection="1">
      <alignment horizontal="center" vertical="top"/>
      <protection/>
    </xf>
    <xf numFmtId="49" fontId="32" fillId="28" borderId="22" xfId="0" applyNumberFormat="1" applyFont="1" applyFill="1" applyBorder="1" applyAlignment="1" applyProtection="1">
      <alignment horizontal="center" vertical="top"/>
      <protection/>
    </xf>
    <xf numFmtId="49" fontId="32" fillId="0" borderId="13" xfId="0" applyNumberFormat="1" applyFont="1" applyFill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49" fontId="32" fillId="0" borderId="13" xfId="0" applyNumberFormat="1" applyFont="1" applyFill="1" applyBorder="1" applyAlignment="1" applyProtection="1">
      <alignment horizontal="center" vertical="top"/>
      <protection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22" xfId="0" applyNumberFormat="1" applyFont="1" applyFill="1" applyBorder="1" applyAlignment="1" applyProtection="1">
      <alignment horizontal="center" vertical="top" wrapText="1"/>
      <protection/>
    </xf>
    <xf numFmtId="49" fontId="32" fillId="24" borderId="15" xfId="0" applyNumberFormat="1" applyFont="1" applyFill="1" applyBorder="1" applyAlignment="1" applyProtection="1">
      <alignment horizontal="left" vertical="center"/>
      <protection/>
    </xf>
    <xf numFmtId="49" fontId="32" fillId="24" borderId="14" xfId="0" applyNumberFormat="1" applyFont="1" applyFill="1" applyBorder="1" applyAlignment="1" applyProtection="1">
      <alignment horizontal="left" vertical="center"/>
      <protection/>
    </xf>
    <xf numFmtId="49" fontId="32" fillId="28" borderId="21" xfId="0" applyNumberFormat="1" applyFont="1" applyFill="1" applyBorder="1" applyAlignment="1" applyProtection="1">
      <alignment horizontal="center" vertical="top" wrapText="1"/>
      <protection/>
    </xf>
    <xf numFmtId="0" fontId="32" fillId="28" borderId="21" xfId="0" applyNumberFormat="1" applyFont="1" applyFill="1" applyBorder="1" applyAlignment="1" applyProtection="1">
      <alignment horizontal="center" vertical="top" wrapText="1"/>
      <protection/>
    </xf>
    <xf numFmtId="0" fontId="32" fillId="28" borderId="13" xfId="0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24" borderId="15" xfId="0" applyNumberFormat="1" applyFont="1" applyFill="1" applyBorder="1" applyAlignment="1" applyProtection="1">
      <alignment horizontal="center" vertical="center" wrapText="1"/>
      <protection/>
    </xf>
    <xf numFmtId="0" fontId="33" fillId="24" borderId="16" xfId="0" applyNumberFormat="1" applyFont="1" applyFill="1" applyBorder="1" applyAlignment="1" applyProtection="1">
      <alignment horizontal="center" vertical="center" wrapText="1"/>
      <protection/>
    </xf>
    <xf numFmtId="49" fontId="33" fillId="13" borderId="13" xfId="0" applyNumberFormat="1" applyFont="1" applyFill="1" applyBorder="1" applyAlignment="1" applyProtection="1">
      <alignment horizontal="center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49" fontId="33" fillId="24" borderId="15" xfId="0" applyNumberFormat="1" applyFont="1" applyFill="1" applyBorder="1" applyAlignment="1">
      <alignment horizontal="center"/>
    </xf>
    <xf numFmtId="49" fontId="33" fillId="24" borderId="16" xfId="0" applyNumberFormat="1" applyFont="1" applyFill="1" applyBorder="1" applyAlignment="1">
      <alignment horizontal="center"/>
    </xf>
  </cellXfs>
  <cellStyles count="25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Excel Built-in Normal" xfId="87"/>
    <cellStyle name="Normal_Local Bud Plan 2003" xfId="88"/>
    <cellStyle name="Акцент1" xfId="89"/>
    <cellStyle name="Акцент1 2" xfId="90"/>
    <cellStyle name="Акцент1 3" xfId="91"/>
    <cellStyle name="Акцент2" xfId="92"/>
    <cellStyle name="Акцент2 2" xfId="93"/>
    <cellStyle name="Акцент2 3" xfId="94"/>
    <cellStyle name="Акцент3" xfId="95"/>
    <cellStyle name="Акцент3 2" xfId="96"/>
    <cellStyle name="Акцент3 3" xfId="97"/>
    <cellStyle name="Акцент4" xfId="98"/>
    <cellStyle name="Акцент4 2" xfId="99"/>
    <cellStyle name="Акцент4 3" xfId="100"/>
    <cellStyle name="Акцент5" xfId="101"/>
    <cellStyle name="Акцент5 2" xfId="102"/>
    <cellStyle name="Акцент5 3" xfId="103"/>
    <cellStyle name="Акцент6" xfId="104"/>
    <cellStyle name="Акцент6 2" xfId="105"/>
    <cellStyle name="Акцент6 3" xfId="106"/>
    <cellStyle name="Акцентування1" xfId="107"/>
    <cellStyle name="Акцентування2" xfId="108"/>
    <cellStyle name="Акцентування3" xfId="109"/>
    <cellStyle name="Акцентування4" xfId="110"/>
    <cellStyle name="Акцентування5" xfId="111"/>
    <cellStyle name="Акцентування6" xfId="112"/>
    <cellStyle name="Ввід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Hyperlink" xfId="123"/>
    <cellStyle name="Гиперссылка 2" xfId="124"/>
    <cellStyle name="Currency" xfId="125"/>
    <cellStyle name="Currency [0]" xfId="126"/>
    <cellStyle name="Денежный 2" xfId="127"/>
    <cellStyle name="Денежный 3" xfId="128"/>
    <cellStyle name="Денежный 3 2" xfId="129"/>
    <cellStyle name="Денежный 3 2 2" xfId="130"/>
    <cellStyle name="Добре" xfId="131"/>
    <cellStyle name="Заголовок 1" xfId="132"/>
    <cellStyle name="Заголовок 1 2" xfId="133"/>
    <cellStyle name="Заголовок 1 3" xfId="134"/>
    <cellStyle name="Заголовок 2" xfId="135"/>
    <cellStyle name="Заголовок 2 2" xfId="136"/>
    <cellStyle name="Заголовок 2 3" xfId="137"/>
    <cellStyle name="Заголовок 3" xfId="138"/>
    <cellStyle name="Заголовок 3 2" xfId="139"/>
    <cellStyle name="Заголовок 3 3" xfId="140"/>
    <cellStyle name="Заголовок 4" xfId="141"/>
    <cellStyle name="Заголовок 4 2" xfId="142"/>
    <cellStyle name="Заголовок 4 3" xfId="143"/>
    <cellStyle name="Звичайний 10" xfId="144"/>
    <cellStyle name="Звичайний 11" xfId="145"/>
    <cellStyle name="Звичайний 12" xfId="146"/>
    <cellStyle name="Звичайний 13" xfId="147"/>
    <cellStyle name="Звичайний 14" xfId="148"/>
    <cellStyle name="Звичайний 15" xfId="149"/>
    <cellStyle name="Звичайний 16" xfId="150"/>
    <cellStyle name="Звичайний 17" xfId="151"/>
    <cellStyle name="Звичайний 18" xfId="152"/>
    <cellStyle name="Звичайний 19" xfId="153"/>
    <cellStyle name="Звичайний 2" xfId="154"/>
    <cellStyle name="Звичайний 2 2" xfId="155"/>
    <cellStyle name="Звичайний 20" xfId="156"/>
    <cellStyle name="Звичайний 3" xfId="157"/>
    <cellStyle name="Звичайний 3 2" xfId="158"/>
    <cellStyle name="Звичайний 4" xfId="159"/>
    <cellStyle name="Звичайний 4 2" xfId="160"/>
    <cellStyle name="Звичайний 5" xfId="161"/>
    <cellStyle name="Звичайний 6" xfId="162"/>
    <cellStyle name="Звичайний 7" xfId="163"/>
    <cellStyle name="Звичайний 8" xfId="164"/>
    <cellStyle name="Звичайний 9" xfId="165"/>
    <cellStyle name="Звичайний_Xl0000125" xfId="166"/>
    <cellStyle name="Звичайний_Додаток _ 3 зм_ни 4575" xfId="167"/>
    <cellStyle name="Зв'язана клітинка" xfId="168"/>
    <cellStyle name="Итог" xfId="169"/>
    <cellStyle name="Итог 2" xfId="170"/>
    <cellStyle name="Итог 3" xfId="171"/>
    <cellStyle name="Контрольна клітинка" xfId="172"/>
    <cellStyle name="Контрольная ячейка" xfId="173"/>
    <cellStyle name="Контрольная ячейка 2" xfId="174"/>
    <cellStyle name="Контрольная ячейка 3" xfId="175"/>
    <cellStyle name="Назва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числення" xfId="183"/>
    <cellStyle name="Обычный 10" xfId="184"/>
    <cellStyle name="Обычный 11" xfId="185"/>
    <cellStyle name="Обычный 12" xfId="186"/>
    <cellStyle name="Обычный 13" xfId="187"/>
    <cellStyle name="Обычный 13 2" xfId="188"/>
    <cellStyle name="Обычный 14" xfId="189"/>
    <cellStyle name="Обычный 15" xfId="190"/>
    <cellStyle name="Обычный 16" xfId="191"/>
    <cellStyle name="Обычный 16 2" xfId="192"/>
    <cellStyle name="Обычный 16_додаток 6" xfId="193"/>
    <cellStyle name="Обычный 18" xfId="194"/>
    <cellStyle name="Обычный 18 2" xfId="195"/>
    <cellStyle name="Обычный 2" xfId="196"/>
    <cellStyle name="Обычный 2 2" xfId="197"/>
    <cellStyle name="Обычный 2 3" xfId="198"/>
    <cellStyle name="Обычный 2 4" xfId="199"/>
    <cellStyle name="Обычный 2 5" xfId="200"/>
    <cellStyle name="Обычный 2 6" xfId="201"/>
    <cellStyle name="Обычный 2 7" xfId="202"/>
    <cellStyle name="Обычный 2 8" xfId="203"/>
    <cellStyle name="Обычный 2 8 2" xfId="204"/>
    <cellStyle name="Обычный 2 9" xfId="205"/>
    <cellStyle name="Обычный 2 9 2" xfId="206"/>
    <cellStyle name="Обычный 2_дод до поясн" xfId="207"/>
    <cellStyle name="Обычный 3" xfId="208"/>
    <cellStyle name="Обычный 3 2" xfId="209"/>
    <cellStyle name="Обычный 3 3" xfId="210"/>
    <cellStyle name="Обычный 3 4" xfId="211"/>
    <cellStyle name="Обычный 3_дод до поясн" xfId="212"/>
    <cellStyle name="Обычный 4" xfId="213"/>
    <cellStyle name="Обычный 4 2" xfId="214"/>
    <cellStyle name="Обычный 4 2 2" xfId="215"/>
    <cellStyle name="Обычный 4 3" xfId="216"/>
    <cellStyle name="Обычный 4 3 2" xfId="217"/>
    <cellStyle name="Обычный 4 4" xfId="218"/>
    <cellStyle name="Обычный 4_додаткові пропозиції" xfId="219"/>
    <cellStyle name="Обычный 43" xfId="220"/>
    <cellStyle name="Обычный 5" xfId="221"/>
    <cellStyle name="Обычный 6" xfId="222"/>
    <cellStyle name="Обычный 6 2" xfId="223"/>
    <cellStyle name="Обычный 7" xfId="224"/>
    <cellStyle name="Обычный 8" xfId="225"/>
    <cellStyle name="Обычный 9" xfId="226"/>
    <cellStyle name="Обычный 9 2" xfId="227"/>
    <cellStyle name="Обычный_дод 2-9" xfId="228"/>
    <cellStyle name="Обычный_дод 2-9_дод  2-10. з бюджетом розвитку" xfId="229"/>
    <cellStyle name="Обычный_дод 8 до бюджету 2012" xfId="230"/>
    <cellStyle name="Обычный_дод до поясн" xfId="231"/>
    <cellStyle name="Обычный_додаток 6" xfId="232"/>
    <cellStyle name="Обычный_додаток 6_1" xfId="233"/>
    <cellStyle name="Followed Hyperlink" xfId="234"/>
    <cellStyle name="Підсумок" xfId="235"/>
    <cellStyle name="Плохой" xfId="236"/>
    <cellStyle name="Плохой 2" xfId="237"/>
    <cellStyle name="Плохой 3" xfId="238"/>
    <cellStyle name="Поганий" xfId="239"/>
    <cellStyle name="Пояснение" xfId="240"/>
    <cellStyle name="Пояснение 2" xfId="241"/>
    <cellStyle name="Пояснение 3" xfId="242"/>
    <cellStyle name="Примечание" xfId="243"/>
    <cellStyle name="Примечание 2" xfId="244"/>
    <cellStyle name="Примечание 3" xfId="245"/>
    <cellStyle name="Примітка" xfId="246"/>
    <cellStyle name="Percent" xfId="247"/>
    <cellStyle name="Процентный 2" xfId="248"/>
    <cellStyle name="Процентный 2 2" xfId="249"/>
    <cellStyle name="Результат" xfId="250"/>
    <cellStyle name="Связанная ячейка" xfId="251"/>
    <cellStyle name="Связанная ячейка 2" xfId="252"/>
    <cellStyle name="Связанная ячейка 3" xfId="253"/>
    <cellStyle name="Середній" xfId="254"/>
    <cellStyle name="Стиль 1" xfId="255"/>
    <cellStyle name="Текст попередження" xfId="256"/>
    <cellStyle name="Текст пояснення" xfId="257"/>
    <cellStyle name="Текст предупреждения" xfId="258"/>
    <cellStyle name="Текст предупреждения 2" xfId="259"/>
    <cellStyle name="Текст предупреждения 3" xfId="260"/>
    <cellStyle name="Тысячи [0]_Розподіл (2)" xfId="261"/>
    <cellStyle name="Тысячи_бюджет 1998 по клас." xfId="262"/>
    <cellStyle name="Comma" xfId="263"/>
    <cellStyle name="Comma [0]" xfId="264"/>
    <cellStyle name="Финансовый 2" xfId="265"/>
    <cellStyle name="Финансовый 3" xfId="266"/>
    <cellStyle name="Финансовый 3 2" xfId="267"/>
    <cellStyle name="Финансовый 3 2 2" xfId="268"/>
    <cellStyle name="Хороший" xfId="269"/>
    <cellStyle name="Хороший 2" xfId="270"/>
    <cellStyle name="Хороший 3" xfId="2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4"/>
  <sheetViews>
    <sheetView tabSelected="1" view="pageBreakPreview" zoomScale="52" zoomScaleNormal="70" zoomScaleSheetLayoutView="52" zoomScalePageLayoutView="0" workbookViewId="0" topLeftCell="A1">
      <pane ySplit="3" topLeftCell="A16" activePane="bottomLeft" state="frozen"/>
      <selection pane="topLeft" activeCell="A1" sqref="A1"/>
      <selection pane="bottomLeft" activeCell="C16" sqref="C16"/>
    </sheetView>
  </sheetViews>
  <sheetFormatPr defaultColWidth="7" defaultRowHeight="12.75"/>
  <cols>
    <col min="1" max="1" width="14.33203125" style="11" customWidth="1"/>
    <col min="2" max="2" width="25.5" style="12" customWidth="1"/>
    <col min="3" max="3" width="67" style="23" customWidth="1"/>
    <col min="4" max="4" width="25.16015625" style="13" customWidth="1"/>
    <col min="5" max="5" width="18.33203125" style="2" customWidth="1"/>
    <col min="6" max="16384" width="7" style="2" customWidth="1"/>
  </cols>
  <sheetData>
    <row r="1" spans="1:4" ht="33" customHeight="1">
      <c r="A1" s="144" t="s">
        <v>14</v>
      </c>
      <c r="B1" s="144"/>
      <c r="C1" s="144"/>
      <c r="D1" s="144"/>
    </row>
    <row r="2" spans="1:3" ht="15">
      <c r="A2" s="3"/>
      <c r="B2" s="4"/>
      <c r="C2" s="19"/>
    </row>
    <row r="3" spans="1:5" ht="87" customHeight="1" hidden="1">
      <c r="A3" s="148" t="s">
        <v>559</v>
      </c>
      <c r="B3" s="149"/>
      <c r="C3" s="149"/>
      <c r="D3" s="85" t="s">
        <v>560</v>
      </c>
      <c r="E3" s="89" t="s">
        <v>570</v>
      </c>
    </row>
    <row r="4" spans="1:5" ht="36" customHeight="1" hidden="1">
      <c r="A4" s="102" t="s">
        <v>561</v>
      </c>
      <c r="B4" s="103"/>
      <c r="C4" s="103"/>
      <c r="D4" s="86">
        <v>24000</v>
      </c>
      <c r="E4" s="90">
        <f>3000+1000+1000</f>
        <v>5000</v>
      </c>
    </row>
    <row r="5" spans="1:5" ht="36" customHeight="1" hidden="1">
      <c r="A5" s="102" t="s">
        <v>562</v>
      </c>
      <c r="B5" s="103"/>
      <c r="C5" s="103"/>
      <c r="D5" s="86">
        <v>4500000</v>
      </c>
      <c r="E5" s="90">
        <f>1566234+398894+88938+6489+74296+53530</f>
        <v>2188381</v>
      </c>
    </row>
    <row r="6" spans="1:5" ht="36" customHeight="1" hidden="1">
      <c r="A6" s="102" t="s">
        <v>563</v>
      </c>
      <c r="B6" s="103"/>
      <c r="C6" s="103"/>
      <c r="D6" s="86">
        <f>6276000+30000000</f>
        <v>36276000</v>
      </c>
      <c r="E6" s="90">
        <f>170786.54+3.61+4.87+3.11</f>
        <v>170798.12999999998</v>
      </c>
    </row>
    <row r="7" spans="1:5" ht="36" customHeight="1" hidden="1">
      <c r="A7" s="102" t="s">
        <v>564</v>
      </c>
      <c r="B7" s="103"/>
      <c r="C7" s="103"/>
      <c r="D7" s="86">
        <v>9000000</v>
      </c>
      <c r="E7" s="90">
        <f>73534+38717+38717+13800+143139+251768+17034+380200+11900+17170.27+13800</f>
        <v>999779.27</v>
      </c>
    </row>
    <row r="8" spans="1:5" ht="36" customHeight="1" hidden="1">
      <c r="A8" s="145" t="s">
        <v>565</v>
      </c>
      <c r="B8" s="146"/>
      <c r="C8" s="146"/>
      <c r="D8" s="87">
        <f>SUM(D4:D7)</f>
        <v>49800000</v>
      </c>
      <c r="E8" s="91">
        <f>SUM(E4:E7)</f>
        <v>3363958.4</v>
      </c>
    </row>
    <row r="9" spans="1:5" ht="36" customHeight="1" hidden="1">
      <c r="A9" s="102" t="s">
        <v>566</v>
      </c>
      <c r="B9" s="103"/>
      <c r="C9" s="103"/>
      <c r="D9" s="86" t="e">
        <f>SUM(#REF!)</f>
        <v>#REF!</v>
      </c>
      <c r="E9" s="90">
        <f>20799675.66+20692559.78+11466439.65+2400000+577158.5+1951584.52+1880671.56+1018038.27+648925.43+1000000+3985366.75+1192875+2200000+220223.8+4700370+20393557.08+573960-11900+10686568.13+16856000+698204.73+4593974.12+200784.6</f>
        <v>128725037.58</v>
      </c>
    </row>
    <row r="10" spans="1:5" ht="60" customHeight="1" hidden="1">
      <c r="A10" s="102" t="s">
        <v>567</v>
      </c>
      <c r="B10" s="103"/>
      <c r="C10" s="103"/>
      <c r="D10" s="86">
        <v>64571578</v>
      </c>
      <c r="E10" s="90">
        <v>5405721.78</v>
      </c>
    </row>
    <row r="11" spans="1:5" ht="45" customHeight="1" hidden="1">
      <c r="A11" s="102" t="s">
        <v>672</v>
      </c>
      <c r="B11" s="103"/>
      <c r="C11" s="103"/>
      <c r="D11" s="86">
        <v>325000</v>
      </c>
      <c r="E11" s="90"/>
    </row>
    <row r="12" spans="1:5" ht="36" customHeight="1" hidden="1">
      <c r="A12" s="150" t="s">
        <v>568</v>
      </c>
      <c r="B12" s="151"/>
      <c r="C12" s="151"/>
      <c r="D12" s="87" t="e">
        <f>D8+D9+D10+D11</f>
        <v>#REF!</v>
      </c>
      <c r="E12" s="87">
        <f>E8+E9+E10+E11</f>
        <v>137494717.76</v>
      </c>
    </row>
    <row r="13" spans="1:4" ht="17.25" hidden="1">
      <c r="A13" s="110" t="s">
        <v>569</v>
      </c>
      <c r="B13" s="111"/>
      <c r="C13" s="111"/>
      <c r="D13" s="88">
        <v>511993.55</v>
      </c>
    </row>
    <row r="14" spans="1:4" ht="17.25" hidden="1">
      <c r="A14" s="110" t="s">
        <v>571</v>
      </c>
      <c r="B14" s="111"/>
      <c r="C14" s="111"/>
      <c r="D14" s="88">
        <f>26732210.58-8848645.74+18209865.35+11255758.63-244458.6-5817900-4231819.1-1767454.67-2967667-418718.14-1147292.6-5732394.72-5241087.54</f>
        <v>19780396.449999996</v>
      </c>
    </row>
    <row r="15" spans="1:4" ht="36" customHeight="1" hidden="1">
      <c r="A15" s="110" t="s">
        <v>572</v>
      </c>
      <c r="B15" s="111"/>
      <c r="C15" s="111"/>
      <c r="D15" s="88" t="e">
        <f>D13+E12-D14-#REF!</f>
        <v>#REF!</v>
      </c>
    </row>
    <row r="16" spans="1:3" ht="15">
      <c r="A16" s="3"/>
      <c r="B16" s="4"/>
      <c r="C16" s="19"/>
    </row>
    <row r="17" spans="1:5" ht="150" customHeight="1">
      <c r="A17" s="5" t="s">
        <v>10</v>
      </c>
      <c r="B17" s="6" t="s">
        <v>523</v>
      </c>
      <c r="C17" s="7" t="s">
        <v>11</v>
      </c>
      <c r="D17" s="8" t="s">
        <v>13</v>
      </c>
      <c r="E17" s="8" t="s">
        <v>682</v>
      </c>
    </row>
    <row r="18" spans="1:5" ht="62.25">
      <c r="A18" s="26" t="s">
        <v>7</v>
      </c>
      <c r="B18" s="27" t="s">
        <v>9</v>
      </c>
      <c r="C18" s="28"/>
      <c r="D18" s="29">
        <f>D19</f>
        <v>1455151.54</v>
      </c>
      <c r="E18" s="29">
        <f>E19</f>
        <v>0</v>
      </c>
    </row>
    <row r="19" spans="1:5" ht="62.25">
      <c r="A19" s="26" t="s">
        <v>8</v>
      </c>
      <c r="B19" s="27" t="s">
        <v>9</v>
      </c>
      <c r="C19" s="28"/>
      <c r="D19" s="29">
        <f>D20</f>
        <v>1455151.54</v>
      </c>
      <c r="E19" s="29">
        <f>E20</f>
        <v>0</v>
      </c>
    </row>
    <row r="20" spans="1:5" s="34" customFormat="1" ht="15">
      <c r="A20" s="117" t="s">
        <v>21</v>
      </c>
      <c r="B20" s="118" t="s">
        <v>20</v>
      </c>
      <c r="C20" s="81"/>
      <c r="D20" s="55">
        <f>SUM(D21:D22)</f>
        <v>1455151.54</v>
      </c>
      <c r="E20" s="55">
        <f>SUM(E21:E22)</f>
        <v>0</v>
      </c>
    </row>
    <row r="21" spans="1:5" s="34" customFormat="1" ht="30.75">
      <c r="A21" s="117"/>
      <c r="B21" s="118"/>
      <c r="C21" s="24" t="s">
        <v>415</v>
      </c>
      <c r="D21" s="25">
        <v>1240151.54</v>
      </c>
      <c r="E21" s="25"/>
    </row>
    <row r="22" spans="1:5" s="34" customFormat="1" ht="30.75">
      <c r="A22" s="117"/>
      <c r="B22" s="118"/>
      <c r="C22" s="24" t="s">
        <v>107</v>
      </c>
      <c r="D22" s="25">
        <v>215000</v>
      </c>
      <c r="E22" s="25"/>
    </row>
    <row r="23" spans="1:5" ht="30.75">
      <c r="A23" s="15" t="s">
        <v>0</v>
      </c>
      <c r="B23" s="16" t="s">
        <v>6</v>
      </c>
      <c r="C23" s="21"/>
      <c r="D23" s="10">
        <f>D24</f>
        <v>101885894.75000001</v>
      </c>
      <c r="E23" s="10">
        <f>E24</f>
        <v>10871691.41</v>
      </c>
    </row>
    <row r="24" spans="1:5" ht="30.75">
      <c r="A24" s="15" t="s">
        <v>1</v>
      </c>
      <c r="B24" s="16" t="s">
        <v>6</v>
      </c>
      <c r="C24" s="21"/>
      <c r="D24" s="10">
        <f>D25+D37+D60+D65+D73+D75+D79+D84+D204+D209+D222+D77+D216+D82+D247+D71+D214</f>
        <v>101885894.75000001</v>
      </c>
      <c r="E24" s="10">
        <f>E25+E37+E60+E65+E73+E75+E79+E84+E204+E209+E222+E77+E216+E82+E247+E71+E214</f>
        <v>10871691.41</v>
      </c>
    </row>
    <row r="25" spans="1:5" ht="15">
      <c r="A25" s="131" t="s">
        <v>22</v>
      </c>
      <c r="B25" s="128" t="s">
        <v>23</v>
      </c>
      <c r="C25" s="20"/>
      <c r="D25" s="17">
        <f>SUM(D26:D36)</f>
        <v>938986</v>
      </c>
      <c r="E25" s="17">
        <f>SUM(E26:E36)</f>
        <v>0</v>
      </c>
    </row>
    <row r="26" spans="1:5" ht="15">
      <c r="A26" s="132"/>
      <c r="B26" s="129"/>
      <c r="C26" s="66" t="s">
        <v>305</v>
      </c>
      <c r="D26" s="9">
        <v>150000</v>
      </c>
      <c r="E26" s="25"/>
    </row>
    <row r="27" spans="1:5" ht="15">
      <c r="A27" s="132"/>
      <c r="B27" s="129"/>
      <c r="C27" s="66" t="s">
        <v>467</v>
      </c>
      <c r="D27" s="9">
        <v>80000</v>
      </c>
      <c r="E27" s="25"/>
    </row>
    <row r="28" spans="1:5" ht="15">
      <c r="A28" s="132"/>
      <c r="B28" s="129"/>
      <c r="C28" s="66" t="s">
        <v>304</v>
      </c>
      <c r="D28" s="9">
        <v>20000</v>
      </c>
      <c r="E28" s="25"/>
    </row>
    <row r="29" spans="1:5" ht="15">
      <c r="A29" s="132"/>
      <c r="B29" s="129"/>
      <c r="C29" s="66" t="s">
        <v>468</v>
      </c>
      <c r="D29" s="9">
        <v>80000</v>
      </c>
      <c r="E29" s="25"/>
    </row>
    <row r="30" spans="1:5" ht="15">
      <c r="A30" s="132"/>
      <c r="B30" s="129"/>
      <c r="C30" s="38" t="s">
        <v>306</v>
      </c>
      <c r="D30" s="9">
        <v>75000</v>
      </c>
      <c r="E30" s="25"/>
    </row>
    <row r="31" spans="1:5" ht="15">
      <c r="A31" s="132"/>
      <c r="B31" s="129"/>
      <c r="C31" s="66" t="s">
        <v>303</v>
      </c>
      <c r="D31" s="9">
        <v>120000</v>
      </c>
      <c r="E31" s="25"/>
    </row>
    <row r="32" spans="1:5" ht="15">
      <c r="A32" s="132"/>
      <c r="B32" s="129"/>
      <c r="C32" s="66" t="s">
        <v>469</v>
      </c>
      <c r="D32" s="9">
        <v>80000</v>
      </c>
      <c r="E32" s="25"/>
    </row>
    <row r="33" spans="1:5" ht="15">
      <c r="A33" s="132"/>
      <c r="B33" s="129"/>
      <c r="C33" s="66" t="s">
        <v>470</v>
      </c>
      <c r="D33" s="9">
        <v>80000</v>
      </c>
      <c r="E33" s="25"/>
    </row>
    <row r="34" spans="1:5" ht="15">
      <c r="A34" s="132"/>
      <c r="B34" s="129"/>
      <c r="C34" s="38" t="s">
        <v>307</v>
      </c>
      <c r="D34" s="9">
        <v>97000</v>
      </c>
      <c r="E34" s="25"/>
    </row>
    <row r="35" spans="1:5" ht="103.5" customHeight="1">
      <c r="A35" s="132"/>
      <c r="B35" s="129"/>
      <c r="C35" s="38" t="s">
        <v>573</v>
      </c>
      <c r="D35" s="33">
        <v>73813</v>
      </c>
      <c r="E35" s="25"/>
    </row>
    <row r="36" spans="1:5" ht="79.5" customHeight="1">
      <c r="A36" s="133"/>
      <c r="B36" s="130"/>
      <c r="C36" s="38" t="s">
        <v>493</v>
      </c>
      <c r="D36" s="33">
        <v>83173</v>
      </c>
      <c r="E36" s="25"/>
    </row>
    <row r="37" spans="1:5" ht="15" customHeight="1">
      <c r="A37" s="119" t="s">
        <v>24</v>
      </c>
      <c r="B37" s="120" t="s">
        <v>104</v>
      </c>
      <c r="C37" s="32"/>
      <c r="D37" s="17">
        <f>SUM(D38:D59)</f>
        <v>3867642.3</v>
      </c>
      <c r="E37" s="17">
        <f>SUM(E38:E59)</f>
        <v>1287724.48</v>
      </c>
    </row>
    <row r="38" spans="1:5" ht="77.25" customHeight="1">
      <c r="A38" s="119"/>
      <c r="B38" s="120"/>
      <c r="C38" s="32" t="s">
        <v>493</v>
      </c>
      <c r="D38" s="33">
        <v>293822</v>
      </c>
      <c r="E38" s="25"/>
    </row>
    <row r="39" spans="1:5" ht="108.75">
      <c r="A39" s="119"/>
      <c r="B39" s="120"/>
      <c r="C39" s="32" t="s">
        <v>574</v>
      </c>
      <c r="D39" s="33">
        <v>163820.3</v>
      </c>
      <c r="E39" s="25"/>
    </row>
    <row r="40" spans="1:5" ht="30.75">
      <c r="A40" s="119"/>
      <c r="B40" s="120"/>
      <c r="C40" s="32" t="s">
        <v>576</v>
      </c>
      <c r="D40" s="14">
        <v>300000</v>
      </c>
      <c r="E40" s="25"/>
    </row>
    <row r="41" spans="1:5" ht="15">
      <c r="A41" s="119"/>
      <c r="B41" s="120"/>
      <c r="C41" s="32" t="s">
        <v>577</v>
      </c>
      <c r="D41" s="14">
        <v>30000</v>
      </c>
      <c r="E41" s="25"/>
    </row>
    <row r="42" spans="1:5" ht="30.75">
      <c r="A42" s="119"/>
      <c r="B42" s="120"/>
      <c r="C42" s="48" t="s">
        <v>309</v>
      </c>
      <c r="D42" s="33">
        <v>200000</v>
      </c>
      <c r="E42" s="25"/>
    </row>
    <row r="43" spans="1:5" ht="15">
      <c r="A43" s="119"/>
      <c r="B43" s="120"/>
      <c r="C43" s="48" t="s">
        <v>310</v>
      </c>
      <c r="D43" s="33">
        <v>50000</v>
      </c>
      <c r="E43" s="25"/>
    </row>
    <row r="44" spans="1:5" ht="30.75">
      <c r="A44" s="119"/>
      <c r="B44" s="120"/>
      <c r="C44" s="45" t="s">
        <v>311</v>
      </c>
      <c r="D44" s="33">
        <v>195000</v>
      </c>
      <c r="E44" s="25">
        <f>194671</f>
        <v>194671</v>
      </c>
    </row>
    <row r="45" spans="1:5" ht="15">
      <c r="A45" s="119"/>
      <c r="B45" s="120"/>
      <c r="C45" s="45" t="s">
        <v>312</v>
      </c>
      <c r="D45" s="33">
        <v>195000</v>
      </c>
      <c r="E45" s="25">
        <f>194467.48</f>
        <v>194467.48</v>
      </c>
    </row>
    <row r="46" spans="1:5" ht="15">
      <c r="A46" s="119"/>
      <c r="B46" s="120"/>
      <c r="C46" s="32" t="s">
        <v>490</v>
      </c>
      <c r="D46" s="33">
        <v>200000</v>
      </c>
      <c r="E46" s="25">
        <f>199539</f>
        <v>199539</v>
      </c>
    </row>
    <row r="47" spans="1:5" ht="15">
      <c r="A47" s="119"/>
      <c r="B47" s="120"/>
      <c r="C47" s="32" t="s">
        <v>471</v>
      </c>
      <c r="D47" s="33">
        <v>200000</v>
      </c>
      <c r="E47" s="25"/>
    </row>
    <row r="48" spans="1:5" ht="15">
      <c r="A48" s="119"/>
      <c r="B48" s="120"/>
      <c r="C48" s="32" t="s">
        <v>472</v>
      </c>
      <c r="D48" s="33">
        <v>200000</v>
      </c>
      <c r="E48" s="25"/>
    </row>
    <row r="49" spans="1:5" ht="15">
      <c r="A49" s="119"/>
      <c r="B49" s="120"/>
      <c r="C49" s="32" t="s">
        <v>473</v>
      </c>
      <c r="D49" s="33">
        <v>200000</v>
      </c>
      <c r="E49" s="25">
        <f>99953</f>
        <v>99953</v>
      </c>
    </row>
    <row r="50" spans="1:5" ht="30.75">
      <c r="A50" s="119"/>
      <c r="B50" s="120"/>
      <c r="C50" s="48" t="s">
        <v>575</v>
      </c>
      <c r="D50" s="33">
        <v>70000</v>
      </c>
      <c r="E50" s="25"/>
    </row>
    <row r="51" spans="1:5" ht="30.75">
      <c r="A51" s="119"/>
      <c r="B51" s="120"/>
      <c r="C51" s="48" t="s">
        <v>308</v>
      </c>
      <c r="D51" s="33">
        <v>200000</v>
      </c>
      <c r="E51" s="25"/>
    </row>
    <row r="52" spans="1:5" ht="15">
      <c r="A52" s="119"/>
      <c r="B52" s="120"/>
      <c r="C52" s="32" t="s">
        <v>474</v>
      </c>
      <c r="D52" s="33">
        <v>200000</v>
      </c>
      <c r="E52" s="25"/>
    </row>
    <row r="53" spans="1:5" ht="15">
      <c r="A53" s="119"/>
      <c r="B53" s="120"/>
      <c r="C53" s="32" t="s">
        <v>475</v>
      </c>
      <c r="D53" s="33">
        <v>200000</v>
      </c>
      <c r="E53" s="25"/>
    </row>
    <row r="54" spans="1:5" ht="15">
      <c r="A54" s="119"/>
      <c r="B54" s="120"/>
      <c r="C54" s="32" t="s">
        <v>476</v>
      </c>
      <c r="D54" s="33">
        <v>200000</v>
      </c>
      <c r="E54" s="25"/>
    </row>
    <row r="55" spans="1:5" ht="30.75">
      <c r="A55" s="119"/>
      <c r="B55" s="120"/>
      <c r="C55" s="32" t="s">
        <v>651</v>
      </c>
      <c r="D55" s="33">
        <v>120000</v>
      </c>
      <c r="E55" s="25"/>
    </row>
    <row r="56" spans="1:5" ht="15">
      <c r="A56" s="119"/>
      <c r="B56" s="120"/>
      <c r="C56" s="32" t="s">
        <v>477</v>
      </c>
      <c r="D56" s="33">
        <v>200000</v>
      </c>
      <c r="E56" s="25">
        <f>199567</f>
        <v>199567</v>
      </c>
    </row>
    <row r="57" spans="1:5" ht="15">
      <c r="A57" s="119"/>
      <c r="B57" s="120"/>
      <c r="C57" s="32" t="s">
        <v>478</v>
      </c>
      <c r="D57" s="33">
        <v>200000</v>
      </c>
      <c r="E57" s="25">
        <f>199675</f>
        <v>199675</v>
      </c>
    </row>
    <row r="58" spans="1:5" ht="15">
      <c r="A58" s="119"/>
      <c r="B58" s="120"/>
      <c r="C58" s="32" t="s">
        <v>479</v>
      </c>
      <c r="D58" s="33">
        <v>200000</v>
      </c>
      <c r="E58" s="25">
        <f>199852</f>
        <v>199852</v>
      </c>
    </row>
    <row r="59" spans="1:5" ht="15">
      <c r="A59" s="119"/>
      <c r="B59" s="120"/>
      <c r="C59" s="45" t="s">
        <v>313</v>
      </c>
      <c r="D59" s="33">
        <v>50000</v>
      </c>
      <c r="E59" s="25"/>
    </row>
    <row r="60" spans="1:5" ht="15">
      <c r="A60" s="119" t="s">
        <v>25</v>
      </c>
      <c r="B60" s="120" t="s">
        <v>105</v>
      </c>
      <c r="C60" s="32"/>
      <c r="D60" s="35">
        <f>SUM(D61:D64)</f>
        <v>208000</v>
      </c>
      <c r="E60" s="35">
        <f>SUM(E61:E64)</f>
        <v>0</v>
      </c>
    </row>
    <row r="61" spans="1:5" ht="15">
      <c r="A61" s="119"/>
      <c r="B61" s="120"/>
      <c r="C61" s="49" t="s">
        <v>578</v>
      </c>
      <c r="D61" s="44">
        <v>10000</v>
      </c>
      <c r="E61" s="25"/>
    </row>
    <row r="62" spans="1:5" ht="15">
      <c r="A62" s="119"/>
      <c r="B62" s="120"/>
      <c r="C62" s="49" t="s">
        <v>579</v>
      </c>
      <c r="D62" s="44">
        <v>8500</v>
      </c>
      <c r="E62" s="25"/>
    </row>
    <row r="63" spans="1:5" ht="15">
      <c r="A63" s="119"/>
      <c r="B63" s="120"/>
      <c r="C63" s="49" t="s">
        <v>580</v>
      </c>
      <c r="D63" s="44">
        <v>8000</v>
      </c>
      <c r="E63" s="25"/>
    </row>
    <row r="64" spans="1:5" ht="15">
      <c r="A64" s="119"/>
      <c r="B64" s="120"/>
      <c r="C64" s="49" t="s">
        <v>581</v>
      </c>
      <c r="D64" s="44">
        <v>181500</v>
      </c>
      <c r="E64" s="25"/>
    </row>
    <row r="65" spans="1:5" ht="15">
      <c r="A65" s="119" t="s">
        <v>26</v>
      </c>
      <c r="B65" s="120" t="s">
        <v>106</v>
      </c>
      <c r="C65" s="22"/>
      <c r="D65" s="17">
        <f>SUM(D66:D70)</f>
        <v>1000000</v>
      </c>
      <c r="E65" s="17">
        <f>SUM(E66:E70)</f>
        <v>0</v>
      </c>
    </row>
    <row r="66" spans="1:5" ht="15">
      <c r="A66" s="119"/>
      <c r="B66" s="120"/>
      <c r="C66" s="50" t="s">
        <v>583</v>
      </c>
      <c r="D66" s="44">
        <v>200000</v>
      </c>
      <c r="E66" s="25"/>
    </row>
    <row r="67" spans="1:5" ht="15">
      <c r="A67" s="119"/>
      <c r="B67" s="120"/>
      <c r="C67" s="50" t="s">
        <v>584</v>
      </c>
      <c r="D67" s="44">
        <v>200000</v>
      </c>
      <c r="E67" s="25"/>
    </row>
    <row r="68" spans="1:5" ht="15">
      <c r="A68" s="119"/>
      <c r="B68" s="120"/>
      <c r="C68" s="50" t="s">
        <v>585</v>
      </c>
      <c r="D68" s="44">
        <v>200000</v>
      </c>
      <c r="E68" s="25"/>
    </row>
    <row r="69" spans="1:5" ht="15">
      <c r="A69" s="119"/>
      <c r="B69" s="120"/>
      <c r="C69" s="50" t="s">
        <v>586</v>
      </c>
      <c r="D69" s="44">
        <v>200000</v>
      </c>
      <c r="E69" s="25"/>
    </row>
    <row r="70" spans="1:5" ht="15">
      <c r="A70" s="119"/>
      <c r="B70" s="120"/>
      <c r="C70" s="50" t="s">
        <v>587</v>
      </c>
      <c r="D70" s="44">
        <v>200000</v>
      </c>
      <c r="E70" s="25"/>
    </row>
    <row r="71" spans="1:5" ht="15">
      <c r="A71" s="119" t="s">
        <v>27</v>
      </c>
      <c r="B71" s="125" t="s">
        <v>28</v>
      </c>
      <c r="C71" s="48"/>
      <c r="D71" s="52">
        <f>SUM(D72:D72)</f>
        <v>11016</v>
      </c>
      <c r="E71" s="52">
        <f>SUM(E72:E72)</f>
        <v>0</v>
      </c>
    </row>
    <row r="72" spans="1:5" ht="108.75">
      <c r="A72" s="119"/>
      <c r="B72" s="125"/>
      <c r="C72" s="20" t="s">
        <v>582</v>
      </c>
      <c r="D72" s="33">
        <v>11016</v>
      </c>
      <c r="E72" s="25"/>
    </row>
    <row r="73" spans="1:5" ht="15">
      <c r="A73" s="119" t="s">
        <v>29</v>
      </c>
      <c r="B73" s="137" t="s">
        <v>30</v>
      </c>
      <c r="C73" s="20"/>
      <c r="D73" s="17">
        <f>SUM(D74:D74)</f>
        <v>1000000</v>
      </c>
      <c r="E73" s="17">
        <f>SUM(E74:E74)</f>
        <v>0</v>
      </c>
    </row>
    <row r="74" spans="1:5" ht="30.75">
      <c r="A74" s="119"/>
      <c r="B74" s="137"/>
      <c r="C74" s="49" t="s">
        <v>666</v>
      </c>
      <c r="D74" s="47">
        <v>1000000</v>
      </c>
      <c r="E74" s="25"/>
    </row>
    <row r="75" spans="1:5" ht="15">
      <c r="A75" s="134" t="s">
        <v>31</v>
      </c>
      <c r="B75" s="135" t="s">
        <v>32</v>
      </c>
      <c r="C75" s="22"/>
      <c r="D75" s="17">
        <f>D76</f>
        <v>400000</v>
      </c>
      <c r="E75" s="17">
        <f>E76</f>
        <v>0</v>
      </c>
    </row>
    <row r="76" spans="1:5" ht="30.75">
      <c r="A76" s="134"/>
      <c r="B76" s="135"/>
      <c r="C76" s="66" t="s">
        <v>314</v>
      </c>
      <c r="D76" s="9">
        <v>400000</v>
      </c>
      <c r="E76" s="84"/>
    </row>
    <row r="77" spans="1:5" ht="15">
      <c r="A77" s="134" t="s">
        <v>33</v>
      </c>
      <c r="B77" s="135" t="s">
        <v>34</v>
      </c>
      <c r="C77" s="22"/>
      <c r="D77" s="17">
        <f>D78</f>
        <v>2308000</v>
      </c>
      <c r="E77" s="17">
        <f>E78</f>
        <v>0</v>
      </c>
    </row>
    <row r="78" spans="1:5" ht="15">
      <c r="A78" s="134"/>
      <c r="B78" s="135"/>
      <c r="C78" s="66" t="s">
        <v>315</v>
      </c>
      <c r="D78" s="9">
        <v>2308000</v>
      </c>
      <c r="E78" s="25"/>
    </row>
    <row r="79" spans="1:5" ht="15">
      <c r="A79" s="136" t="s">
        <v>35</v>
      </c>
      <c r="B79" s="127" t="s">
        <v>36</v>
      </c>
      <c r="C79" s="22"/>
      <c r="D79" s="17">
        <f>SUM(D80:D81)</f>
        <v>687614</v>
      </c>
      <c r="E79" s="17">
        <f>SUM(E80:E81)</f>
        <v>0</v>
      </c>
    </row>
    <row r="80" spans="1:5" ht="30.75">
      <c r="A80" s="136"/>
      <c r="B80" s="127"/>
      <c r="C80" s="66" t="s">
        <v>316</v>
      </c>
      <c r="D80" s="9">
        <v>617614</v>
      </c>
      <c r="E80" s="25"/>
    </row>
    <row r="81" spans="1:5" ht="30.75">
      <c r="A81" s="136"/>
      <c r="B81" s="127"/>
      <c r="C81" s="32" t="s">
        <v>317</v>
      </c>
      <c r="D81" s="33">
        <v>70000</v>
      </c>
      <c r="E81" s="25"/>
    </row>
    <row r="82" spans="1:5" ht="15" customHeight="1">
      <c r="A82" s="136" t="s">
        <v>548</v>
      </c>
      <c r="B82" s="127" t="s">
        <v>549</v>
      </c>
      <c r="C82" s="45"/>
      <c r="D82" s="35">
        <f>SUM(D83:D83)</f>
        <v>600000</v>
      </c>
      <c r="E82" s="35">
        <f>SUM(E83:E83)</f>
        <v>0</v>
      </c>
    </row>
    <row r="83" spans="1:5" ht="78">
      <c r="A83" s="136"/>
      <c r="B83" s="127"/>
      <c r="C83" s="45" t="s">
        <v>491</v>
      </c>
      <c r="D83" s="33">
        <v>600000</v>
      </c>
      <c r="E83" s="25"/>
    </row>
    <row r="84" spans="1:5" ht="15">
      <c r="A84" s="115" t="s">
        <v>37</v>
      </c>
      <c r="B84" s="112" t="s">
        <v>38</v>
      </c>
      <c r="C84" s="56"/>
      <c r="D84" s="35">
        <f>SUM(D85:D203)</f>
        <v>73694067.78000002</v>
      </c>
      <c r="E84" s="35">
        <f>SUM(E85:E203)</f>
        <v>7468307.699999999</v>
      </c>
    </row>
    <row r="85" spans="1:5" ht="15">
      <c r="A85" s="116"/>
      <c r="B85" s="113"/>
      <c r="C85" s="32" t="s">
        <v>331</v>
      </c>
      <c r="D85" s="33">
        <v>200000</v>
      </c>
      <c r="E85" s="25"/>
    </row>
    <row r="86" spans="1:5" ht="30.75">
      <c r="A86" s="116"/>
      <c r="B86" s="113"/>
      <c r="C86" s="32" t="s">
        <v>332</v>
      </c>
      <c r="D86" s="33">
        <v>70000</v>
      </c>
      <c r="E86" s="25"/>
    </row>
    <row r="87" spans="1:5" ht="15">
      <c r="A87" s="116"/>
      <c r="B87" s="113"/>
      <c r="C87" s="45" t="s">
        <v>367</v>
      </c>
      <c r="D87" s="33">
        <v>793612.3</v>
      </c>
      <c r="E87" s="25">
        <f>560650.8</f>
        <v>560650.8</v>
      </c>
    </row>
    <row r="88" spans="1:5" ht="62.25">
      <c r="A88" s="116"/>
      <c r="B88" s="113"/>
      <c r="C88" s="45" t="s">
        <v>368</v>
      </c>
      <c r="D88" s="33">
        <f>298529.4+306470.6</f>
        <v>605000</v>
      </c>
      <c r="E88" s="25"/>
    </row>
    <row r="89" spans="1:5" ht="15">
      <c r="A89" s="116"/>
      <c r="B89" s="113"/>
      <c r="C89" s="32" t="s">
        <v>391</v>
      </c>
      <c r="D89" s="33">
        <v>1273381</v>
      </c>
      <c r="E89" s="25">
        <f>360522</f>
        <v>360522</v>
      </c>
    </row>
    <row r="90" spans="1:5" ht="15">
      <c r="A90" s="116"/>
      <c r="B90" s="113"/>
      <c r="C90" s="45" t="s">
        <v>371</v>
      </c>
      <c r="D90" s="33">
        <v>678702.96</v>
      </c>
      <c r="E90" s="25"/>
    </row>
    <row r="91" spans="1:5" ht="15">
      <c r="A91" s="116"/>
      <c r="B91" s="113"/>
      <c r="C91" s="45" t="s">
        <v>362</v>
      </c>
      <c r="D91" s="33">
        <f>2839220-100000</f>
        <v>2739220</v>
      </c>
      <c r="E91" s="25"/>
    </row>
    <row r="92" spans="1:5" ht="15">
      <c r="A92" s="116"/>
      <c r="B92" s="113"/>
      <c r="C92" s="45" t="s">
        <v>363</v>
      </c>
      <c r="D92" s="33">
        <v>3814</v>
      </c>
      <c r="E92" s="25"/>
    </row>
    <row r="93" spans="1:5" ht="30.75">
      <c r="A93" s="116"/>
      <c r="B93" s="113"/>
      <c r="C93" s="32" t="s">
        <v>351</v>
      </c>
      <c r="D93" s="33">
        <v>394171</v>
      </c>
      <c r="E93" s="25"/>
    </row>
    <row r="94" spans="1:5" ht="15">
      <c r="A94" s="116"/>
      <c r="B94" s="113"/>
      <c r="C94" s="32" t="s">
        <v>589</v>
      </c>
      <c r="D94" s="33">
        <f>580000-500000</f>
        <v>80000</v>
      </c>
      <c r="E94" s="25"/>
    </row>
    <row r="95" spans="1:5" ht="15">
      <c r="A95" s="116"/>
      <c r="B95" s="113"/>
      <c r="C95" s="32" t="s">
        <v>356</v>
      </c>
      <c r="D95" s="33">
        <v>5570</v>
      </c>
      <c r="E95" s="25"/>
    </row>
    <row r="96" spans="1:5" ht="15">
      <c r="A96" s="116"/>
      <c r="B96" s="113"/>
      <c r="C96" s="32" t="s">
        <v>357</v>
      </c>
      <c r="D96" s="33">
        <v>300000</v>
      </c>
      <c r="E96" s="25"/>
    </row>
    <row r="97" spans="1:5" ht="30.75">
      <c r="A97" s="116"/>
      <c r="B97" s="113"/>
      <c r="C97" s="32" t="s">
        <v>358</v>
      </c>
      <c r="D97" s="33">
        <v>21610</v>
      </c>
      <c r="E97" s="25"/>
    </row>
    <row r="98" spans="1:5" ht="15">
      <c r="A98" s="116"/>
      <c r="B98" s="113"/>
      <c r="C98" s="32" t="s">
        <v>352</v>
      </c>
      <c r="D98" s="33">
        <f>290000+1200000</f>
        <v>1490000</v>
      </c>
      <c r="E98" s="25"/>
    </row>
    <row r="99" spans="1:5" ht="30.75">
      <c r="A99" s="116"/>
      <c r="B99" s="113"/>
      <c r="C99" s="32" t="s">
        <v>341</v>
      </c>
      <c r="D99" s="33">
        <v>500000</v>
      </c>
      <c r="E99" s="25"/>
    </row>
    <row r="100" spans="1:5" ht="15">
      <c r="A100" s="116"/>
      <c r="B100" s="113"/>
      <c r="C100" s="32" t="s">
        <v>511</v>
      </c>
      <c r="D100" s="33">
        <v>700000</v>
      </c>
      <c r="E100" s="25"/>
    </row>
    <row r="101" spans="1:5" ht="15">
      <c r="A101" s="116"/>
      <c r="B101" s="113"/>
      <c r="C101" s="32" t="s">
        <v>335</v>
      </c>
      <c r="D101" s="33">
        <v>896000</v>
      </c>
      <c r="E101" s="25"/>
    </row>
    <row r="102" spans="1:5" ht="30.75">
      <c r="A102" s="116"/>
      <c r="B102" s="113"/>
      <c r="C102" s="48" t="s">
        <v>348</v>
      </c>
      <c r="D102" s="33">
        <f>810000-670000</f>
        <v>140000</v>
      </c>
      <c r="E102" s="25"/>
    </row>
    <row r="103" spans="1:5" ht="30.75">
      <c r="A103" s="116"/>
      <c r="B103" s="113"/>
      <c r="C103" s="48" t="s">
        <v>349</v>
      </c>
      <c r="D103" s="33">
        <f>1310000-1000000+42000-152000</f>
        <v>200000</v>
      </c>
      <c r="E103" s="25"/>
    </row>
    <row r="104" spans="1:5" ht="15">
      <c r="A104" s="116"/>
      <c r="B104" s="113"/>
      <c r="C104" s="32" t="s">
        <v>359</v>
      </c>
      <c r="D104" s="33">
        <f>53517-35000</f>
        <v>18517</v>
      </c>
      <c r="E104" s="25"/>
    </row>
    <row r="105" spans="1:5" ht="15">
      <c r="A105" s="116"/>
      <c r="B105" s="113"/>
      <c r="C105" s="32" t="s">
        <v>360</v>
      </c>
      <c r="D105" s="33">
        <v>35220</v>
      </c>
      <c r="E105" s="25"/>
    </row>
    <row r="106" spans="1:5" ht="30.75">
      <c r="A106" s="116"/>
      <c r="B106" s="113"/>
      <c r="C106" s="32" t="s">
        <v>361</v>
      </c>
      <c r="D106" s="33">
        <v>35266</v>
      </c>
      <c r="E106" s="25"/>
    </row>
    <row r="107" spans="1:5" ht="15">
      <c r="A107" s="116"/>
      <c r="B107" s="113"/>
      <c r="C107" s="45" t="s">
        <v>364</v>
      </c>
      <c r="D107" s="33">
        <v>578000</v>
      </c>
      <c r="E107" s="25"/>
    </row>
    <row r="108" spans="1:5" ht="15">
      <c r="A108" s="116"/>
      <c r="B108" s="113"/>
      <c r="C108" s="32" t="s">
        <v>337</v>
      </c>
      <c r="D108" s="33">
        <v>100000</v>
      </c>
      <c r="E108" s="25"/>
    </row>
    <row r="109" spans="1:5" ht="15">
      <c r="A109" s="116"/>
      <c r="B109" s="113"/>
      <c r="C109" s="32" t="s">
        <v>336</v>
      </c>
      <c r="D109" s="33">
        <f>1450000-250000</f>
        <v>1200000</v>
      </c>
      <c r="E109" s="25"/>
    </row>
    <row r="110" spans="1:5" ht="15">
      <c r="A110" s="116"/>
      <c r="B110" s="113"/>
      <c r="C110" s="45" t="s">
        <v>369</v>
      </c>
      <c r="D110" s="33">
        <v>659164.2</v>
      </c>
      <c r="E110" s="25">
        <f>392221.2</f>
        <v>392221.2</v>
      </c>
    </row>
    <row r="111" spans="1:5" ht="62.25">
      <c r="A111" s="116"/>
      <c r="B111" s="113"/>
      <c r="C111" s="45" t="s">
        <v>370</v>
      </c>
      <c r="D111" s="33">
        <f>123656.8+237575.2</f>
        <v>361232</v>
      </c>
      <c r="E111" s="25"/>
    </row>
    <row r="112" spans="1:5" ht="46.5">
      <c r="A112" s="116"/>
      <c r="B112" s="113"/>
      <c r="C112" s="32" t="s">
        <v>338</v>
      </c>
      <c r="D112" s="33">
        <f>1150000-1145000</f>
        <v>5000</v>
      </c>
      <c r="E112" s="25"/>
    </row>
    <row r="113" spans="1:5" ht="17.25" customHeight="1">
      <c r="A113" s="116"/>
      <c r="B113" s="113"/>
      <c r="C113" s="32" t="s">
        <v>344</v>
      </c>
      <c r="D113" s="33">
        <f>1500000-500000</f>
        <v>1000000</v>
      </c>
      <c r="E113" s="25"/>
    </row>
    <row r="114" spans="1:5" ht="15">
      <c r="A114" s="116"/>
      <c r="B114" s="113"/>
      <c r="C114" s="32" t="s">
        <v>345</v>
      </c>
      <c r="D114" s="33">
        <v>150000</v>
      </c>
      <c r="E114" s="25"/>
    </row>
    <row r="115" spans="1:5" ht="15">
      <c r="A115" s="116"/>
      <c r="B115" s="113"/>
      <c r="C115" s="32" t="s">
        <v>353</v>
      </c>
      <c r="D115" s="33">
        <v>671072</v>
      </c>
      <c r="E115" s="25"/>
    </row>
    <row r="116" spans="1:5" ht="15">
      <c r="A116" s="116"/>
      <c r="B116" s="113"/>
      <c r="C116" s="32" t="s">
        <v>484</v>
      </c>
      <c r="D116" s="33">
        <v>500000</v>
      </c>
      <c r="E116" s="25"/>
    </row>
    <row r="117" spans="1:5" ht="15">
      <c r="A117" s="116"/>
      <c r="B117" s="113"/>
      <c r="C117" s="32" t="s">
        <v>346</v>
      </c>
      <c r="D117" s="33">
        <v>250000</v>
      </c>
      <c r="E117" s="25"/>
    </row>
    <row r="118" spans="1:5" ht="15">
      <c r="A118" s="116"/>
      <c r="B118" s="113"/>
      <c r="C118" s="32" t="s">
        <v>333</v>
      </c>
      <c r="D118" s="33">
        <v>1390000</v>
      </c>
      <c r="E118" s="25"/>
    </row>
    <row r="119" spans="1:5" ht="30" customHeight="1">
      <c r="A119" s="116"/>
      <c r="B119" s="113"/>
      <c r="C119" s="45" t="s">
        <v>365</v>
      </c>
      <c r="D119" s="33">
        <v>361627.79</v>
      </c>
      <c r="E119" s="25"/>
    </row>
    <row r="120" spans="1:5" ht="15">
      <c r="A120" s="116"/>
      <c r="B120" s="113"/>
      <c r="C120" s="32" t="s">
        <v>483</v>
      </c>
      <c r="D120" s="33">
        <v>500000</v>
      </c>
      <c r="E120" s="25"/>
    </row>
    <row r="121" spans="1:5" ht="15">
      <c r="A121" s="116"/>
      <c r="B121" s="113"/>
      <c r="C121" s="32" t="s">
        <v>334</v>
      </c>
      <c r="D121" s="33">
        <f>1390001-1380000</f>
        <v>10001</v>
      </c>
      <c r="E121" s="25"/>
    </row>
    <row r="122" spans="1:5" ht="15">
      <c r="A122" s="116"/>
      <c r="B122" s="113"/>
      <c r="C122" s="32" t="s">
        <v>350</v>
      </c>
      <c r="D122" s="33">
        <v>414559.6</v>
      </c>
      <c r="E122" s="25"/>
    </row>
    <row r="123" spans="1:5" ht="15">
      <c r="A123" s="116"/>
      <c r="B123" s="113"/>
      <c r="C123" s="32" t="s">
        <v>343</v>
      </c>
      <c r="D123" s="33">
        <f>700000+220000-900000</f>
        <v>20000</v>
      </c>
      <c r="E123" s="25"/>
    </row>
    <row r="124" spans="1:5" ht="15">
      <c r="A124" s="116"/>
      <c r="B124" s="113"/>
      <c r="C124" s="78" t="s">
        <v>347</v>
      </c>
      <c r="D124" s="33">
        <v>893000</v>
      </c>
      <c r="E124" s="25">
        <f>723549.6</f>
        <v>723549.6</v>
      </c>
    </row>
    <row r="125" spans="1:5" ht="15">
      <c r="A125" s="116"/>
      <c r="B125" s="113"/>
      <c r="C125" s="78" t="s">
        <v>329</v>
      </c>
      <c r="D125" s="33">
        <v>350000</v>
      </c>
      <c r="E125" s="25"/>
    </row>
    <row r="126" spans="1:5" ht="15">
      <c r="A126" s="116"/>
      <c r="B126" s="113"/>
      <c r="C126" s="78" t="s">
        <v>330</v>
      </c>
      <c r="D126" s="33">
        <v>250000</v>
      </c>
      <c r="E126" s="25"/>
    </row>
    <row r="127" spans="1:5" ht="15">
      <c r="A127" s="116"/>
      <c r="B127" s="113"/>
      <c r="C127" s="32" t="s">
        <v>354</v>
      </c>
      <c r="D127" s="33">
        <f>643975+50000</f>
        <v>693975</v>
      </c>
      <c r="E127" s="25"/>
    </row>
    <row r="128" spans="1:5" ht="15">
      <c r="A128" s="116"/>
      <c r="B128" s="113"/>
      <c r="C128" s="45" t="s">
        <v>366</v>
      </c>
      <c r="D128" s="33">
        <v>356573</v>
      </c>
      <c r="E128" s="25"/>
    </row>
    <row r="129" spans="1:5" ht="15">
      <c r="A129" s="116"/>
      <c r="B129" s="113"/>
      <c r="C129" s="32" t="s">
        <v>482</v>
      </c>
      <c r="D129" s="33">
        <v>1250000</v>
      </c>
      <c r="E129" s="25"/>
    </row>
    <row r="130" spans="1:5" ht="30.75">
      <c r="A130" s="116"/>
      <c r="B130" s="113"/>
      <c r="C130" s="32" t="s">
        <v>392</v>
      </c>
      <c r="D130" s="33">
        <v>600000</v>
      </c>
      <c r="E130" s="25">
        <f>223568</f>
        <v>223568</v>
      </c>
    </row>
    <row r="131" spans="1:5" ht="15">
      <c r="A131" s="116"/>
      <c r="B131" s="113"/>
      <c r="C131" s="32" t="s">
        <v>339</v>
      </c>
      <c r="D131" s="33">
        <v>1400000</v>
      </c>
      <c r="E131" s="25"/>
    </row>
    <row r="132" spans="1:5" ht="15">
      <c r="A132" s="116"/>
      <c r="B132" s="113"/>
      <c r="C132" s="32" t="s">
        <v>340</v>
      </c>
      <c r="D132" s="33">
        <v>400000</v>
      </c>
      <c r="E132" s="25"/>
    </row>
    <row r="133" spans="1:5" ht="30.75">
      <c r="A133" s="116"/>
      <c r="B133" s="113"/>
      <c r="C133" s="32" t="s">
        <v>342</v>
      </c>
      <c r="D133" s="33">
        <v>500000</v>
      </c>
      <c r="E133" s="25"/>
    </row>
    <row r="134" spans="1:5" s="34" customFormat="1" ht="15">
      <c r="A134" s="116"/>
      <c r="B134" s="113"/>
      <c r="C134" s="32" t="s">
        <v>355</v>
      </c>
      <c r="D134" s="33">
        <v>198285.04</v>
      </c>
      <c r="E134" s="25"/>
    </row>
    <row r="135" spans="1:5" s="34" customFormat="1" ht="30.75">
      <c r="A135" s="116"/>
      <c r="B135" s="113"/>
      <c r="C135" s="32" t="s">
        <v>667</v>
      </c>
      <c r="D135" s="33">
        <v>580000</v>
      </c>
      <c r="E135" s="25"/>
    </row>
    <row r="136" spans="1:5" s="34" customFormat="1" ht="15">
      <c r="A136" s="116"/>
      <c r="B136" s="113"/>
      <c r="C136" s="32" t="s">
        <v>594</v>
      </c>
      <c r="D136" s="33">
        <f>41709.9</f>
        <v>41709.9</v>
      </c>
      <c r="E136" s="25"/>
    </row>
    <row r="137" spans="1:5" s="34" customFormat="1" ht="15">
      <c r="A137" s="116"/>
      <c r="B137" s="113"/>
      <c r="C137" s="32" t="s">
        <v>376</v>
      </c>
      <c r="D137" s="33">
        <f>500000+90000</f>
        <v>590000</v>
      </c>
      <c r="E137" s="25"/>
    </row>
    <row r="138" spans="1:5" s="34" customFormat="1" ht="15">
      <c r="A138" s="116"/>
      <c r="B138" s="113"/>
      <c r="C138" s="32" t="s">
        <v>380</v>
      </c>
      <c r="D138" s="33">
        <v>800000</v>
      </c>
      <c r="E138" s="25">
        <f>370709.4</f>
        <v>370709.4</v>
      </c>
    </row>
    <row r="139" spans="1:5" s="34" customFormat="1" ht="30.75">
      <c r="A139" s="116"/>
      <c r="B139" s="113"/>
      <c r="C139" s="32" t="s">
        <v>513</v>
      </c>
      <c r="D139" s="33">
        <v>402000</v>
      </c>
      <c r="E139" s="25"/>
    </row>
    <row r="140" spans="1:5" s="34" customFormat="1" ht="15">
      <c r="A140" s="116"/>
      <c r="B140" s="113"/>
      <c r="C140" s="32" t="s">
        <v>381</v>
      </c>
      <c r="D140" s="33">
        <v>22229.58</v>
      </c>
      <c r="E140" s="25"/>
    </row>
    <row r="141" spans="1:5" s="34" customFormat="1" ht="46.5" customHeight="1">
      <c r="A141" s="116"/>
      <c r="B141" s="113"/>
      <c r="C141" s="32" t="s">
        <v>524</v>
      </c>
      <c r="D141" s="33">
        <v>250000</v>
      </c>
      <c r="E141" s="25"/>
    </row>
    <row r="142" spans="1:5" s="34" customFormat="1" ht="15">
      <c r="A142" s="116"/>
      <c r="B142" s="113"/>
      <c r="C142" s="32" t="s">
        <v>650</v>
      </c>
      <c r="D142" s="33">
        <v>800000</v>
      </c>
      <c r="E142" s="25"/>
    </row>
    <row r="143" spans="1:5" ht="30.75">
      <c r="A143" s="116"/>
      <c r="B143" s="113"/>
      <c r="C143" s="45" t="s">
        <v>385</v>
      </c>
      <c r="D143" s="33">
        <v>600000</v>
      </c>
      <c r="E143" s="25">
        <f>597777.26</f>
        <v>597777.26</v>
      </c>
    </row>
    <row r="144" spans="1:5" ht="30.75">
      <c r="A144" s="116"/>
      <c r="B144" s="113"/>
      <c r="C144" s="45" t="s">
        <v>386</v>
      </c>
      <c r="D144" s="33">
        <v>200000</v>
      </c>
      <c r="E144" s="25"/>
    </row>
    <row r="145" spans="1:5" ht="15">
      <c r="A145" s="116"/>
      <c r="B145" s="113"/>
      <c r="C145" s="32" t="s">
        <v>379</v>
      </c>
      <c r="D145" s="33">
        <f>40000-40000+76756</f>
        <v>76756</v>
      </c>
      <c r="E145" s="25"/>
    </row>
    <row r="146" spans="1:5" ht="15">
      <c r="A146" s="116"/>
      <c r="B146" s="113"/>
      <c r="C146" s="32" t="s">
        <v>374</v>
      </c>
      <c r="D146" s="33">
        <f>1500000-1000000</f>
        <v>500000</v>
      </c>
      <c r="E146" s="25"/>
    </row>
    <row r="147" spans="1:5" ht="15">
      <c r="A147" s="116"/>
      <c r="B147" s="113"/>
      <c r="C147" s="45" t="s">
        <v>389</v>
      </c>
      <c r="D147" s="33">
        <v>13957.08</v>
      </c>
      <c r="E147" s="25"/>
    </row>
    <row r="148" spans="1:5" ht="15">
      <c r="A148" s="116"/>
      <c r="B148" s="113"/>
      <c r="C148" s="32" t="s">
        <v>378</v>
      </c>
      <c r="D148" s="33">
        <v>696002</v>
      </c>
      <c r="E148" s="25">
        <f>637877.93+58124</f>
        <v>696001.93</v>
      </c>
    </row>
    <row r="149" spans="1:5" ht="15">
      <c r="A149" s="116"/>
      <c r="B149" s="113"/>
      <c r="C149" s="32" t="s">
        <v>593</v>
      </c>
      <c r="D149" s="33">
        <f>200000</f>
        <v>200000</v>
      </c>
      <c r="E149" s="25"/>
    </row>
    <row r="150" spans="1:5" ht="15">
      <c r="A150" s="116"/>
      <c r="B150" s="113"/>
      <c r="C150" s="32" t="s">
        <v>485</v>
      </c>
      <c r="D150" s="33">
        <v>500000</v>
      </c>
      <c r="E150" s="25"/>
    </row>
    <row r="151" spans="1:5" ht="15">
      <c r="A151" s="116"/>
      <c r="B151" s="113"/>
      <c r="C151" s="32" t="s">
        <v>377</v>
      </c>
      <c r="D151" s="33">
        <v>200000</v>
      </c>
      <c r="E151" s="25"/>
    </row>
    <row r="152" spans="1:5" ht="15">
      <c r="A152" s="116"/>
      <c r="B152" s="113"/>
      <c r="C152" s="32" t="s">
        <v>382</v>
      </c>
      <c r="D152" s="33">
        <v>200800</v>
      </c>
      <c r="E152" s="25"/>
    </row>
    <row r="153" spans="1:5" ht="46.5">
      <c r="A153" s="116"/>
      <c r="B153" s="113"/>
      <c r="C153" s="32" t="s">
        <v>383</v>
      </c>
      <c r="D153" s="33">
        <f>356753.05+100000</f>
        <v>456753.05</v>
      </c>
      <c r="E153" s="25"/>
    </row>
    <row r="154" spans="1:5" ht="15">
      <c r="A154" s="116"/>
      <c r="B154" s="113"/>
      <c r="C154" s="32" t="s">
        <v>384</v>
      </c>
      <c r="D154" s="33">
        <v>14240</v>
      </c>
      <c r="E154" s="25"/>
    </row>
    <row r="155" spans="1:5" ht="30.75">
      <c r="A155" s="116"/>
      <c r="B155" s="113"/>
      <c r="C155" s="32" t="s">
        <v>514</v>
      </c>
      <c r="D155" s="33">
        <v>402000</v>
      </c>
      <c r="E155" s="25"/>
    </row>
    <row r="156" spans="1:5" ht="30.75">
      <c r="A156" s="116"/>
      <c r="B156" s="113"/>
      <c r="C156" s="32" t="s">
        <v>525</v>
      </c>
      <c r="D156" s="44">
        <v>961100</v>
      </c>
      <c r="E156" s="25">
        <f>961098.57</f>
        <v>961098.57</v>
      </c>
    </row>
    <row r="157" spans="1:5" ht="30.75">
      <c r="A157" s="116"/>
      <c r="B157" s="113"/>
      <c r="C157" s="32" t="s">
        <v>526</v>
      </c>
      <c r="D157" s="33">
        <v>1290.1</v>
      </c>
      <c r="E157" s="25"/>
    </row>
    <row r="158" spans="1:5" ht="30.75">
      <c r="A158" s="116"/>
      <c r="B158" s="113"/>
      <c r="C158" s="32" t="s">
        <v>372</v>
      </c>
      <c r="D158" s="33">
        <v>1200000</v>
      </c>
      <c r="E158" s="25"/>
    </row>
    <row r="159" spans="1:5" ht="15">
      <c r="A159" s="116"/>
      <c r="B159" s="113"/>
      <c r="C159" s="45" t="s">
        <v>387</v>
      </c>
      <c r="D159" s="33">
        <v>700000</v>
      </c>
      <c r="E159" s="25">
        <f>34610</f>
        <v>34610</v>
      </c>
    </row>
    <row r="160" spans="1:5" ht="15">
      <c r="A160" s="116"/>
      <c r="B160" s="113"/>
      <c r="C160" s="78" t="s">
        <v>487</v>
      </c>
      <c r="D160" s="33">
        <v>200000</v>
      </c>
      <c r="E160" s="25"/>
    </row>
    <row r="161" spans="1:5" ht="15">
      <c r="A161" s="116"/>
      <c r="B161" s="113"/>
      <c r="C161" s="32" t="s">
        <v>509</v>
      </c>
      <c r="D161" s="33">
        <v>1490000</v>
      </c>
      <c r="E161" s="25"/>
    </row>
    <row r="162" spans="1:5" ht="15">
      <c r="A162" s="116"/>
      <c r="B162" s="113"/>
      <c r="C162" s="78" t="s">
        <v>390</v>
      </c>
      <c r="D162" s="33">
        <v>7128000</v>
      </c>
      <c r="E162" s="25"/>
    </row>
    <row r="163" spans="1:5" ht="15">
      <c r="A163" s="116"/>
      <c r="B163" s="113"/>
      <c r="C163" s="32" t="s">
        <v>486</v>
      </c>
      <c r="D163" s="33">
        <v>147639.02</v>
      </c>
      <c r="E163" s="25"/>
    </row>
    <row r="164" spans="1:5" ht="30.75">
      <c r="A164" s="116"/>
      <c r="B164" s="113"/>
      <c r="C164" s="32" t="s">
        <v>495</v>
      </c>
      <c r="D164" s="33">
        <v>1490000</v>
      </c>
      <c r="E164" s="25"/>
    </row>
    <row r="165" spans="1:5" ht="15">
      <c r="A165" s="116"/>
      <c r="B165" s="113"/>
      <c r="C165" s="32" t="s">
        <v>375</v>
      </c>
      <c r="D165" s="33">
        <v>1490000</v>
      </c>
      <c r="E165" s="25"/>
    </row>
    <row r="166" spans="1:5" ht="30.75">
      <c r="A166" s="116"/>
      <c r="B166" s="113"/>
      <c r="C166" s="32" t="s">
        <v>373</v>
      </c>
      <c r="D166" s="33">
        <f>3000000-2500000</f>
        <v>500000</v>
      </c>
      <c r="E166" s="25">
        <f>200000</f>
        <v>200000</v>
      </c>
    </row>
    <row r="167" spans="1:5" ht="46.5">
      <c r="A167" s="116"/>
      <c r="B167" s="113"/>
      <c r="C167" s="45" t="s">
        <v>388</v>
      </c>
      <c r="D167" s="33">
        <v>800000</v>
      </c>
      <c r="E167" s="25">
        <f>49914</f>
        <v>49914</v>
      </c>
    </row>
    <row r="168" spans="1:5" ht="15">
      <c r="A168" s="116"/>
      <c r="B168" s="113"/>
      <c r="C168" s="32" t="s">
        <v>396</v>
      </c>
      <c r="D168" s="33">
        <v>47393</v>
      </c>
      <c r="E168" s="25"/>
    </row>
    <row r="169" spans="1:5" ht="30.75">
      <c r="A169" s="116"/>
      <c r="B169" s="113"/>
      <c r="C169" s="79" t="s">
        <v>394</v>
      </c>
      <c r="D169" s="44">
        <v>176000</v>
      </c>
      <c r="E169" s="25"/>
    </row>
    <row r="170" spans="1:5" ht="15">
      <c r="A170" s="116"/>
      <c r="B170" s="113"/>
      <c r="C170" s="79" t="s">
        <v>591</v>
      </c>
      <c r="D170" s="44">
        <f>935000</f>
        <v>935000</v>
      </c>
      <c r="E170" s="25"/>
    </row>
    <row r="171" spans="1:5" ht="46.5">
      <c r="A171" s="116"/>
      <c r="B171" s="113"/>
      <c r="C171" s="32" t="s">
        <v>488</v>
      </c>
      <c r="D171" s="80">
        <v>645800</v>
      </c>
      <c r="E171" s="25"/>
    </row>
    <row r="172" spans="1:5" ht="46.5">
      <c r="A172" s="116"/>
      <c r="B172" s="113"/>
      <c r="C172" s="32" t="s">
        <v>395</v>
      </c>
      <c r="D172" s="80">
        <v>1482650</v>
      </c>
      <c r="E172" s="25">
        <f>600423.8</f>
        <v>600423.8</v>
      </c>
    </row>
    <row r="173" spans="1:5" ht="30.75">
      <c r="A173" s="116"/>
      <c r="B173" s="113"/>
      <c r="C173" s="45" t="s">
        <v>397</v>
      </c>
      <c r="D173" s="33">
        <v>1300000</v>
      </c>
      <c r="E173" s="25"/>
    </row>
    <row r="174" spans="1:5" ht="30.75">
      <c r="A174" s="116"/>
      <c r="B174" s="113"/>
      <c r="C174" s="45" t="s">
        <v>592</v>
      </c>
      <c r="D174" s="33">
        <f>30000</f>
        <v>30000</v>
      </c>
      <c r="E174" s="25"/>
    </row>
    <row r="175" spans="1:5" ht="30.75">
      <c r="A175" s="116"/>
      <c r="B175" s="113"/>
      <c r="C175" s="45" t="s">
        <v>399</v>
      </c>
      <c r="D175" s="33">
        <v>300000</v>
      </c>
      <c r="E175" s="25">
        <f>299998</f>
        <v>299998</v>
      </c>
    </row>
    <row r="176" spans="1:5" ht="30.75">
      <c r="A176" s="116"/>
      <c r="B176" s="113"/>
      <c r="C176" s="45" t="s">
        <v>400</v>
      </c>
      <c r="D176" s="33">
        <v>54196</v>
      </c>
      <c r="E176" s="25"/>
    </row>
    <row r="177" spans="1:5" ht="30.75">
      <c r="A177" s="116"/>
      <c r="B177" s="113"/>
      <c r="C177" s="45" t="s">
        <v>401</v>
      </c>
      <c r="D177" s="33">
        <v>459178.4</v>
      </c>
      <c r="E177" s="25"/>
    </row>
    <row r="178" spans="1:5" ht="30.75">
      <c r="A178" s="116"/>
      <c r="B178" s="113"/>
      <c r="C178" s="45" t="s">
        <v>402</v>
      </c>
      <c r="D178" s="33">
        <v>137648.6</v>
      </c>
      <c r="E178" s="25"/>
    </row>
    <row r="179" spans="1:5" ht="30.75">
      <c r="A179" s="116"/>
      <c r="B179" s="113"/>
      <c r="C179" s="45" t="s">
        <v>403</v>
      </c>
      <c r="D179" s="33">
        <f>990000+215937</f>
        <v>1205937</v>
      </c>
      <c r="E179" s="25">
        <f>495000</f>
        <v>495000</v>
      </c>
    </row>
    <row r="180" spans="1:5" ht="15">
      <c r="A180" s="116"/>
      <c r="B180" s="113"/>
      <c r="C180" s="45" t="s">
        <v>398</v>
      </c>
      <c r="D180" s="33">
        <f>1100000-1080000</f>
        <v>20000</v>
      </c>
      <c r="E180" s="25"/>
    </row>
    <row r="181" spans="1:5" ht="46.5">
      <c r="A181" s="116"/>
      <c r="B181" s="113"/>
      <c r="C181" s="32" t="s">
        <v>320</v>
      </c>
      <c r="D181" s="33">
        <f>1160000-759982.8-160000</f>
        <v>240017.19999999995</v>
      </c>
      <c r="E181" s="25"/>
    </row>
    <row r="182" spans="1:5" ht="15">
      <c r="A182" s="116"/>
      <c r="B182" s="113"/>
      <c r="C182" s="32" t="s">
        <v>515</v>
      </c>
      <c r="D182" s="33">
        <v>120000</v>
      </c>
      <c r="E182" s="25"/>
    </row>
    <row r="183" spans="1:5" ht="15">
      <c r="A183" s="116"/>
      <c r="B183" s="113"/>
      <c r="C183" s="32" t="s">
        <v>649</v>
      </c>
      <c r="D183" s="33">
        <v>100000</v>
      </c>
      <c r="E183" s="25"/>
    </row>
    <row r="184" spans="1:5" ht="15">
      <c r="A184" s="116"/>
      <c r="B184" s="113"/>
      <c r="C184" s="32" t="s">
        <v>318</v>
      </c>
      <c r="D184" s="33">
        <v>1500000</v>
      </c>
      <c r="E184" s="25"/>
    </row>
    <row r="185" spans="1:5" ht="15">
      <c r="A185" s="116"/>
      <c r="B185" s="113"/>
      <c r="C185" s="45" t="s">
        <v>318</v>
      </c>
      <c r="D185" s="33">
        <v>547307.6</v>
      </c>
      <c r="E185" s="25"/>
    </row>
    <row r="186" spans="1:5" ht="15">
      <c r="A186" s="116"/>
      <c r="B186" s="113"/>
      <c r="C186" s="45" t="s">
        <v>326</v>
      </c>
      <c r="D186" s="33">
        <f>900000-100000</f>
        <v>800000</v>
      </c>
      <c r="E186" s="25"/>
    </row>
    <row r="187" spans="1:5" ht="15">
      <c r="A187" s="116"/>
      <c r="B187" s="113"/>
      <c r="C187" s="45" t="s">
        <v>323</v>
      </c>
      <c r="D187" s="33">
        <v>17510</v>
      </c>
      <c r="E187" s="25"/>
    </row>
    <row r="188" spans="1:5" ht="46.5">
      <c r="A188" s="116"/>
      <c r="B188" s="113"/>
      <c r="C188" s="32" t="s">
        <v>319</v>
      </c>
      <c r="D188" s="33">
        <f>1200000-1195000</f>
        <v>5000</v>
      </c>
      <c r="E188" s="25"/>
    </row>
    <row r="189" spans="1:5" ht="15">
      <c r="A189" s="116"/>
      <c r="B189" s="113"/>
      <c r="C189" s="32" t="s">
        <v>588</v>
      </c>
      <c r="D189" s="33">
        <v>1500000</v>
      </c>
      <c r="E189" s="25"/>
    </row>
    <row r="190" spans="1:5" ht="15">
      <c r="A190" s="116"/>
      <c r="B190" s="113"/>
      <c r="C190" s="32" t="s">
        <v>510</v>
      </c>
      <c r="D190" s="33">
        <f>1000000+250000</f>
        <v>1250000</v>
      </c>
      <c r="E190" s="25"/>
    </row>
    <row r="191" spans="1:5" ht="15">
      <c r="A191" s="116"/>
      <c r="B191" s="113"/>
      <c r="C191" s="32" t="s">
        <v>321</v>
      </c>
      <c r="D191" s="33">
        <v>1500000</v>
      </c>
      <c r="E191" s="25"/>
    </row>
    <row r="192" spans="1:5" ht="30.75">
      <c r="A192" s="116"/>
      <c r="B192" s="113"/>
      <c r="C192" s="32" t="s">
        <v>508</v>
      </c>
      <c r="D192" s="33">
        <v>809160</v>
      </c>
      <c r="E192" s="25">
        <f>792253.83</f>
        <v>792253.83</v>
      </c>
    </row>
    <row r="193" spans="1:5" ht="15">
      <c r="A193" s="116"/>
      <c r="B193" s="113"/>
      <c r="C193" s="32" t="s">
        <v>590</v>
      </c>
      <c r="D193" s="33">
        <v>1200000</v>
      </c>
      <c r="E193" s="25"/>
    </row>
    <row r="194" spans="1:5" ht="30.75">
      <c r="A194" s="116"/>
      <c r="B194" s="113"/>
      <c r="C194" s="32" t="s">
        <v>480</v>
      </c>
      <c r="D194" s="33">
        <v>1340000</v>
      </c>
      <c r="E194" s="25"/>
    </row>
    <row r="195" spans="1:5" ht="15">
      <c r="A195" s="116"/>
      <c r="B195" s="113"/>
      <c r="C195" s="45" t="s">
        <v>327</v>
      </c>
      <c r="D195" s="33">
        <v>112851.36</v>
      </c>
      <c r="E195" s="25">
        <f>110009.31</f>
        <v>110009.31</v>
      </c>
    </row>
    <row r="196" spans="1:5" ht="15">
      <c r="A196" s="116"/>
      <c r="B196" s="113"/>
      <c r="C196" s="45" t="s">
        <v>328</v>
      </c>
      <c r="D196" s="33">
        <v>100000</v>
      </c>
      <c r="E196" s="25"/>
    </row>
    <row r="197" spans="1:5" ht="15">
      <c r="A197" s="116"/>
      <c r="B197" s="113"/>
      <c r="C197" s="32" t="s">
        <v>481</v>
      </c>
      <c r="D197" s="33">
        <v>1000000</v>
      </c>
      <c r="E197" s="25"/>
    </row>
    <row r="198" spans="1:5" ht="15">
      <c r="A198" s="116"/>
      <c r="B198" s="113"/>
      <c r="C198" s="32" t="s">
        <v>322</v>
      </c>
      <c r="D198" s="33">
        <v>1000000</v>
      </c>
      <c r="E198" s="25"/>
    </row>
    <row r="199" spans="1:5" ht="30.75">
      <c r="A199" s="116"/>
      <c r="B199" s="113"/>
      <c r="C199" s="49" t="s">
        <v>393</v>
      </c>
      <c r="D199" s="33">
        <v>940070</v>
      </c>
      <c r="E199" s="25"/>
    </row>
    <row r="200" spans="1:5" ht="15">
      <c r="A200" s="116"/>
      <c r="B200" s="113"/>
      <c r="C200" s="45" t="s">
        <v>324</v>
      </c>
      <c r="D200" s="33">
        <v>268840</v>
      </c>
      <c r="E200" s="25"/>
    </row>
    <row r="201" spans="1:5" ht="15">
      <c r="A201" s="116"/>
      <c r="B201" s="113"/>
      <c r="C201" s="45" t="s">
        <v>325</v>
      </c>
      <c r="D201" s="33">
        <v>1292458</v>
      </c>
      <c r="E201" s="25"/>
    </row>
    <row r="202" spans="1:5" ht="46.5">
      <c r="A202" s="116"/>
      <c r="B202" s="113"/>
      <c r="C202" s="32" t="s">
        <v>461</v>
      </c>
      <c r="D202" s="80">
        <v>1000000</v>
      </c>
      <c r="E202" s="25"/>
    </row>
    <row r="203" spans="1:5" ht="30.75">
      <c r="A203" s="138"/>
      <c r="B203" s="114"/>
      <c r="C203" s="32" t="s">
        <v>512</v>
      </c>
      <c r="D203" s="80">
        <v>360000</v>
      </c>
      <c r="E203" s="25"/>
    </row>
    <row r="204" spans="1:5" ht="15" customHeight="1">
      <c r="A204" s="115" t="s">
        <v>39</v>
      </c>
      <c r="B204" s="112" t="s">
        <v>40</v>
      </c>
      <c r="C204" s="45"/>
      <c r="D204" s="35">
        <f>SUM(D205:D208)</f>
        <v>3977878</v>
      </c>
      <c r="E204" s="35">
        <f>SUM(E205:E208)</f>
        <v>192721</v>
      </c>
    </row>
    <row r="205" spans="1:5" ht="30.75">
      <c r="A205" s="116"/>
      <c r="B205" s="113"/>
      <c r="C205" s="32" t="s">
        <v>399</v>
      </c>
      <c r="D205" s="33">
        <f>300000+200000</f>
        <v>500000</v>
      </c>
      <c r="E205" s="25"/>
    </row>
    <row r="206" spans="1:5" ht="15">
      <c r="A206" s="116"/>
      <c r="B206" s="113"/>
      <c r="C206" s="66" t="s">
        <v>404</v>
      </c>
      <c r="D206" s="9">
        <v>3200000</v>
      </c>
      <c r="E206" s="25"/>
    </row>
    <row r="207" spans="1:5" ht="15">
      <c r="A207" s="116"/>
      <c r="B207" s="113"/>
      <c r="C207" s="66" t="s">
        <v>404</v>
      </c>
      <c r="D207" s="9">
        <v>85157</v>
      </c>
      <c r="E207" s="25"/>
    </row>
    <row r="208" spans="1:5" ht="15">
      <c r="A208" s="116"/>
      <c r="B208" s="113"/>
      <c r="C208" s="66" t="s">
        <v>595</v>
      </c>
      <c r="D208" s="9">
        <f>192721</f>
        <v>192721</v>
      </c>
      <c r="E208" s="25">
        <f>192721</f>
        <v>192721</v>
      </c>
    </row>
    <row r="209" spans="1:5" ht="15">
      <c r="A209" s="126" t="s">
        <v>41</v>
      </c>
      <c r="B209" s="127" t="s">
        <v>42</v>
      </c>
      <c r="C209" s="53"/>
      <c r="D209" s="17">
        <f>SUM(D210:D213)</f>
        <v>1203955.56</v>
      </c>
      <c r="E209" s="17">
        <f>SUM(E210:E213)</f>
        <v>0</v>
      </c>
    </row>
    <row r="210" spans="1:5" ht="30.75">
      <c r="A210" s="126"/>
      <c r="B210" s="127"/>
      <c r="C210" s="38" t="s">
        <v>407</v>
      </c>
      <c r="D210" s="9">
        <v>210296.78</v>
      </c>
      <c r="E210" s="9"/>
    </row>
    <row r="211" spans="1:5" ht="46.5">
      <c r="A211" s="126"/>
      <c r="B211" s="127"/>
      <c r="C211" s="38" t="s">
        <v>596</v>
      </c>
      <c r="D211" s="9">
        <f>35000</f>
        <v>35000</v>
      </c>
      <c r="E211" s="9"/>
    </row>
    <row r="212" spans="1:5" ht="30.75">
      <c r="A212" s="126"/>
      <c r="B212" s="127"/>
      <c r="C212" s="38" t="s">
        <v>405</v>
      </c>
      <c r="D212" s="9">
        <v>3158.78</v>
      </c>
      <c r="E212" s="9"/>
    </row>
    <row r="213" spans="1:5" ht="30.75">
      <c r="A213" s="126"/>
      <c r="B213" s="127"/>
      <c r="C213" s="38" t="s">
        <v>406</v>
      </c>
      <c r="D213" s="9">
        <v>955500</v>
      </c>
      <c r="E213" s="9"/>
    </row>
    <row r="214" spans="1:5" ht="15">
      <c r="A214" s="121" t="s">
        <v>652</v>
      </c>
      <c r="B214" s="123" t="s">
        <v>653</v>
      </c>
      <c r="C214" s="45"/>
      <c r="D214" s="63">
        <f>D215</f>
        <v>2400000</v>
      </c>
      <c r="E214" s="63">
        <f>E215</f>
        <v>0</v>
      </c>
    </row>
    <row r="215" spans="1:5" ht="78">
      <c r="A215" s="122"/>
      <c r="B215" s="124"/>
      <c r="C215" s="38" t="s">
        <v>654</v>
      </c>
      <c r="D215" s="9">
        <v>2400000</v>
      </c>
      <c r="E215" s="9"/>
    </row>
    <row r="216" spans="1:5" ht="15">
      <c r="A216" s="126" t="s">
        <v>43</v>
      </c>
      <c r="B216" s="127" t="s">
        <v>44</v>
      </c>
      <c r="C216" s="24"/>
      <c r="D216" s="17">
        <f>SUM(D217:D221)</f>
        <v>595378.39</v>
      </c>
      <c r="E216" s="17">
        <f>SUM(E217:E221)</f>
        <v>0</v>
      </c>
    </row>
    <row r="217" spans="1:5" ht="46.5">
      <c r="A217" s="126"/>
      <c r="B217" s="127"/>
      <c r="C217" s="45" t="s">
        <v>626</v>
      </c>
      <c r="D217" s="33">
        <f>179045.31-173830.39+173830.39</f>
        <v>179045.31</v>
      </c>
      <c r="E217" s="25"/>
    </row>
    <row r="218" spans="1:5" ht="78">
      <c r="A218" s="126"/>
      <c r="B218" s="127"/>
      <c r="C218" s="45" t="s">
        <v>627</v>
      </c>
      <c r="D218" s="33">
        <f>12240.08-8010.66+8010.66</f>
        <v>12240.08</v>
      </c>
      <c r="E218" s="25"/>
    </row>
    <row r="219" spans="1:5" ht="78">
      <c r="A219" s="126"/>
      <c r="B219" s="127"/>
      <c r="C219" s="45" t="s">
        <v>628</v>
      </c>
      <c r="D219" s="33">
        <f>1428-1181.79+1181.79</f>
        <v>1428</v>
      </c>
      <c r="E219" s="25"/>
    </row>
    <row r="220" spans="1:5" ht="78">
      <c r="A220" s="126"/>
      <c r="B220" s="127"/>
      <c r="C220" s="45" t="s">
        <v>629</v>
      </c>
      <c r="D220" s="33">
        <f>1458-895.63+895.63</f>
        <v>1458</v>
      </c>
      <c r="E220" s="25"/>
    </row>
    <row r="221" spans="1:5" ht="78">
      <c r="A221" s="126"/>
      <c r="B221" s="127"/>
      <c r="C221" s="45" t="s">
        <v>630</v>
      </c>
      <c r="D221" s="33">
        <f>401207-1171.85+1171.85</f>
        <v>401207</v>
      </c>
      <c r="E221" s="25"/>
    </row>
    <row r="222" spans="1:5" ht="15" customHeight="1">
      <c r="A222" s="115" t="s">
        <v>45</v>
      </c>
      <c r="B222" s="112" t="s">
        <v>46</v>
      </c>
      <c r="C222" s="37"/>
      <c r="D222" s="17">
        <f>D223+D243</f>
        <v>8793356.719999999</v>
      </c>
      <c r="E222" s="17">
        <f>E223+E243</f>
        <v>1922938.2300000002</v>
      </c>
    </row>
    <row r="223" spans="1:5" ht="15">
      <c r="A223" s="116"/>
      <c r="B223" s="113"/>
      <c r="C223" s="39" t="s">
        <v>637</v>
      </c>
      <c r="D223" s="17">
        <f>SUM(D224:D242)</f>
        <v>8154632.72</v>
      </c>
      <c r="E223" s="17">
        <f>SUM(E224:E242)</f>
        <v>1922938.2300000002</v>
      </c>
    </row>
    <row r="224" spans="1:5" ht="15">
      <c r="A224" s="116"/>
      <c r="B224" s="113"/>
      <c r="C224" s="45" t="s">
        <v>631</v>
      </c>
      <c r="D224" s="9">
        <v>400000</v>
      </c>
      <c r="E224" s="25"/>
    </row>
    <row r="225" spans="1:5" ht="30.75">
      <c r="A225" s="116"/>
      <c r="B225" s="113"/>
      <c r="C225" s="45" t="s">
        <v>632</v>
      </c>
      <c r="D225" s="9">
        <v>221700</v>
      </c>
      <c r="E225" s="25">
        <f>221000</f>
        <v>221000</v>
      </c>
    </row>
    <row r="226" spans="1:5" ht="30.75">
      <c r="A226" s="116"/>
      <c r="B226" s="113"/>
      <c r="C226" s="45" t="s">
        <v>633</v>
      </c>
      <c r="D226" s="9">
        <v>20000</v>
      </c>
      <c r="E226" s="25"/>
    </row>
    <row r="227" spans="1:5" ht="30.75">
      <c r="A227" s="116"/>
      <c r="B227" s="113"/>
      <c r="C227" s="45" t="s">
        <v>634</v>
      </c>
      <c r="D227" s="9">
        <v>40000</v>
      </c>
      <c r="E227" s="25"/>
    </row>
    <row r="228" spans="1:5" ht="30.75">
      <c r="A228" s="116"/>
      <c r="B228" s="113"/>
      <c r="C228" s="45" t="s">
        <v>635</v>
      </c>
      <c r="D228" s="9">
        <v>40000</v>
      </c>
      <c r="E228" s="25"/>
    </row>
    <row r="229" spans="1:5" ht="15">
      <c r="A229" s="116"/>
      <c r="B229" s="113"/>
      <c r="C229" s="45" t="s">
        <v>636</v>
      </c>
      <c r="D229" s="25">
        <v>2500000</v>
      </c>
      <c r="E229" s="25"/>
    </row>
    <row r="230" spans="1:5" ht="30.75">
      <c r="A230" s="116"/>
      <c r="B230" s="113"/>
      <c r="C230" s="45" t="s">
        <v>601</v>
      </c>
      <c r="D230" s="25">
        <f>17144.35</f>
        <v>17144.35</v>
      </c>
      <c r="E230" s="25"/>
    </row>
    <row r="231" spans="1:5" ht="15">
      <c r="A231" s="116"/>
      <c r="B231" s="113"/>
      <c r="C231" s="45" t="s">
        <v>602</v>
      </c>
      <c r="D231" s="25">
        <v>29000</v>
      </c>
      <c r="E231" s="25"/>
    </row>
    <row r="232" spans="1:5" ht="30.75">
      <c r="A232" s="116"/>
      <c r="B232" s="113"/>
      <c r="C232" s="45" t="s">
        <v>603</v>
      </c>
      <c r="D232" s="25">
        <v>70000</v>
      </c>
      <c r="E232" s="25"/>
    </row>
    <row r="233" spans="1:5" ht="30.75">
      <c r="A233" s="116"/>
      <c r="B233" s="113"/>
      <c r="C233" s="45" t="s">
        <v>606</v>
      </c>
      <c r="D233" s="25">
        <v>280000</v>
      </c>
      <c r="E233" s="25"/>
    </row>
    <row r="234" spans="1:5" ht="30.75">
      <c r="A234" s="116"/>
      <c r="B234" s="113"/>
      <c r="C234" s="45" t="s">
        <v>607</v>
      </c>
      <c r="D234" s="25">
        <v>190000</v>
      </c>
      <c r="E234" s="25"/>
    </row>
    <row r="235" spans="1:5" ht="30.75">
      <c r="A235" s="116"/>
      <c r="B235" s="113"/>
      <c r="C235" s="45" t="s">
        <v>608</v>
      </c>
      <c r="D235" s="25">
        <v>110000</v>
      </c>
      <c r="E235" s="25"/>
    </row>
    <row r="236" spans="1:5" ht="46.5">
      <c r="A236" s="116"/>
      <c r="B236" s="113"/>
      <c r="C236" s="45" t="s">
        <v>605</v>
      </c>
      <c r="D236" s="25">
        <v>1000000</v>
      </c>
      <c r="E236" s="25"/>
    </row>
    <row r="237" spans="1:5" ht="30.75">
      <c r="A237" s="116"/>
      <c r="B237" s="113"/>
      <c r="C237" s="45" t="s">
        <v>408</v>
      </c>
      <c r="D237" s="9">
        <v>494418.2</v>
      </c>
      <c r="E237" s="25">
        <f>439626.8</f>
        <v>439626.8</v>
      </c>
    </row>
    <row r="238" spans="1:5" ht="30.75">
      <c r="A238" s="116"/>
      <c r="B238" s="113"/>
      <c r="C238" s="45" t="s">
        <v>409</v>
      </c>
      <c r="D238" s="9">
        <v>1146377.5</v>
      </c>
      <c r="E238" s="25"/>
    </row>
    <row r="239" spans="1:5" ht="46.5">
      <c r="A239" s="116"/>
      <c r="B239" s="113"/>
      <c r="C239" s="45" t="s">
        <v>410</v>
      </c>
      <c r="D239" s="9">
        <f>604860.64-399000</f>
        <v>205860.64</v>
      </c>
      <c r="E239" s="25">
        <f>194123.64</f>
        <v>194123.64</v>
      </c>
    </row>
    <row r="240" spans="1:5" ht="46.5">
      <c r="A240" s="116"/>
      <c r="B240" s="113"/>
      <c r="C240" s="45" t="s">
        <v>411</v>
      </c>
      <c r="D240" s="9">
        <v>359992.2</v>
      </c>
      <c r="E240" s="25">
        <v>343420.2</v>
      </c>
    </row>
    <row r="241" spans="1:5" ht="30.75">
      <c r="A241" s="116"/>
      <c r="B241" s="113"/>
      <c r="C241" s="45" t="s">
        <v>412</v>
      </c>
      <c r="D241" s="9">
        <v>730139.83</v>
      </c>
      <c r="E241" s="25">
        <f>400000+324767.59</f>
        <v>724767.5900000001</v>
      </c>
    </row>
    <row r="242" spans="1:5" ht="30.75">
      <c r="A242" s="116"/>
      <c r="B242" s="113"/>
      <c r="C242" s="45" t="s">
        <v>604</v>
      </c>
      <c r="D242" s="9">
        <v>300000</v>
      </c>
      <c r="E242" s="25"/>
    </row>
    <row r="243" spans="1:5" ht="30.75">
      <c r="A243" s="116"/>
      <c r="B243" s="113"/>
      <c r="C243" s="39" t="s">
        <v>47</v>
      </c>
      <c r="D243" s="17">
        <f>SUM(D244:D246)</f>
        <v>638724</v>
      </c>
      <c r="E243" s="17">
        <f>SUM(E244:E246)</f>
        <v>0</v>
      </c>
    </row>
    <row r="244" spans="1:5" ht="62.25">
      <c r="A244" s="116"/>
      <c r="B244" s="113"/>
      <c r="C244" s="45" t="s">
        <v>413</v>
      </c>
      <c r="D244" s="9">
        <v>330000</v>
      </c>
      <c r="E244" s="25"/>
    </row>
    <row r="245" spans="1:5" ht="30.75">
      <c r="A245" s="116"/>
      <c r="B245" s="113"/>
      <c r="C245" s="45" t="s">
        <v>414</v>
      </c>
      <c r="D245" s="9">
        <v>3805</v>
      </c>
      <c r="E245" s="25"/>
    </row>
    <row r="246" spans="1:5" ht="46.5">
      <c r="A246" s="138"/>
      <c r="B246" s="114"/>
      <c r="C246" s="45" t="s">
        <v>609</v>
      </c>
      <c r="D246" s="9">
        <v>304919</v>
      </c>
      <c r="E246" s="25"/>
    </row>
    <row r="247" spans="1:5" ht="15">
      <c r="A247" s="121" t="s">
        <v>610</v>
      </c>
      <c r="B247" s="123" t="s">
        <v>611</v>
      </c>
      <c r="C247" s="45"/>
      <c r="D247" s="63">
        <f>D248</f>
        <v>200000</v>
      </c>
      <c r="E247" s="63">
        <f>E248</f>
        <v>0</v>
      </c>
    </row>
    <row r="248" spans="1:5" ht="78">
      <c r="A248" s="122"/>
      <c r="B248" s="124"/>
      <c r="C248" s="45" t="s">
        <v>612</v>
      </c>
      <c r="D248" s="9">
        <v>200000</v>
      </c>
      <c r="E248" s="25"/>
    </row>
    <row r="249" spans="1:5" ht="46.5">
      <c r="A249" s="15" t="s">
        <v>3</v>
      </c>
      <c r="B249" s="16" t="s">
        <v>5</v>
      </c>
      <c r="C249" s="21"/>
      <c r="D249" s="10">
        <f>D250</f>
        <v>93709033.31</v>
      </c>
      <c r="E249" s="10">
        <f>E250</f>
        <v>16832328.4</v>
      </c>
    </row>
    <row r="250" spans="1:5" ht="46.5">
      <c r="A250" s="15" t="s">
        <v>4</v>
      </c>
      <c r="B250" s="16" t="s">
        <v>5</v>
      </c>
      <c r="C250" s="21"/>
      <c r="D250" s="10">
        <f>D251</f>
        <v>93709033.31</v>
      </c>
      <c r="E250" s="10">
        <f>E251</f>
        <v>16832328.4</v>
      </c>
    </row>
    <row r="251" spans="1:5" ht="21" customHeight="1">
      <c r="A251" s="107" t="s">
        <v>48</v>
      </c>
      <c r="B251" s="104" t="s">
        <v>49</v>
      </c>
      <c r="C251" s="62"/>
      <c r="D251" s="63">
        <f>D252+D258+D263+D268+D273+D278+D280+D282+D286+D284+D275+D288+D290</f>
        <v>93709033.31</v>
      </c>
      <c r="E251" s="63">
        <f>E252+E258+E263+E268+E273+E278+E280+E282+E286+E284+E275+E288+E290</f>
        <v>16832328.4</v>
      </c>
    </row>
    <row r="252" spans="1:5" ht="30.75">
      <c r="A252" s="108"/>
      <c r="B252" s="105"/>
      <c r="C252" s="53" t="s">
        <v>53</v>
      </c>
      <c r="D252" s="8">
        <f>SUM(D253:D257)-D254</f>
        <v>17584513.2</v>
      </c>
      <c r="E252" s="8">
        <f>SUM(E253:E257)-E254</f>
        <v>2328211.2</v>
      </c>
    </row>
    <row r="253" spans="1:5" ht="46.5">
      <c r="A253" s="108"/>
      <c r="B253" s="105"/>
      <c r="C253" s="45" t="s">
        <v>679</v>
      </c>
      <c r="D253" s="44">
        <f>2500000+1657680+10941560</f>
        <v>15099240</v>
      </c>
      <c r="E253" s="44">
        <f>1672338.7</f>
        <v>1672338.7</v>
      </c>
    </row>
    <row r="254" spans="1:5" s="34" customFormat="1" ht="15">
      <c r="A254" s="108"/>
      <c r="B254" s="105"/>
      <c r="C254" s="45" t="s">
        <v>680</v>
      </c>
      <c r="D254" s="44">
        <v>10941560</v>
      </c>
      <c r="E254" s="44"/>
    </row>
    <row r="255" spans="1:5" s="34" customFormat="1" ht="46.5">
      <c r="A255" s="108"/>
      <c r="B255" s="105"/>
      <c r="C255" s="45" t="s">
        <v>128</v>
      </c>
      <c r="D255" s="44">
        <v>1450000</v>
      </c>
      <c r="E255" s="44">
        <f>70000</f>
        <v>70000</v>
      </c>
    </row>
    <row r="256" spans="1:5" s="34" customFormat="1" ht="46.5">
      <c r="A256" s="108"/>
      <c r="B256" s="105"/>
      <c r="C256" s="45" t="s">
        <v>597</v>
      </c>
      <c r="D256" s="44">
        <v>622647.2</v>
      </c>
      <c r="E256" s="44">
        <f>577158.5+8714</f>
        <v>585872.5</v>
      </c>
    </row>
    <row r="257" spans="1:5" s="34" customFormat="1" ht="46.5">
      <c r="A257" s="108"/>
      <c r="B257" s="105"/>
      <c r="C257" s="45" t="s">
        <v>598</v>
      </c>
      <c r="D257" s="44">
        <v>412626</v>
      </c>
      <c r="E257" s="44"/>
    </row>
    <row r="258" spans="1:5" s="34" customFormat="1" ht="30.75">
      <c r="A258" s="108"/>
      <c r="B258" s="105"/>
      <c r="C258" s="56" t="s">
        <v>138</v>
      </c>
      <c r="D258" s="55">
        <f>D261+D262+D259+D260</f>
        <v>1849240</v>
      </c>
      <c r="E258" s="55">
        <f>E261+E262+E259+E260</f>
        <v>162600</v>
      </c>
    </row>
    <row r="259" spans="1:5" s="34" customFormat="1" ht="30.75">
      <c r="A259" s="108"/>
      <c r="B259" s="105"/>
      <c r="C259" s="45" t="s">
        <v>599</v>
      </c>
      <c r="D259" s="44">
        <v>124700</v>
      </c>
      <c r="E259" s="44">
        <f>92840+31760</f>
        <v>124600</v>
      </c>
    </row>
    <row r="260" spans="1:5" s="34" customFormat="1" ht="46.5">
      <c r="A260" s="108"/>
      <c r="B260" s="105"/>
      <c r="C260" s="45" t="s">
        <v>600</v>
      </c>
      <c r="D260" s="44">
        <v>186540</v>
      </c>
      <c r="E260" s="44"/>
    </row>
    <row r="261" spans="1:5" s="34" customFormat="1" ht="30.75">
      <c r="A261" s="108"/>
      <c r="B261" s="105"/>
      <c r="C261" s="32" t="s">
        <v>129</v>
      </c>
      <c r="D261" s="44">
        <v>38000</v>
      </c>
      <c r="E261" s="44">
        <f>38000</f>
        <v>38000</v>
      </c>
    </row>
    <row r="262" spans="1:5" s="34" customFormat="1" ht="49.5" customHeight="1">
      <c r="A262" s="108"/>
      <c r="B262" s="105"/>
      <c r="C262" s="32" t="s">
        <v>489</v>
      </c>
      <c r="D262" s="44">
        <v>1500000</v>
      </c>
      <c r="E262" s="44"/>
    </row>
    <row r="263" spans="1:5" s="34" customFormat="1" ht="30.75">
      <c r="A263" s="108"/>
      <c r="B263" s="105"/>
      <c r="C263" s="56" t="s">
        <v>54</v>
      </c>
      <c r="D263" s="55">
        <f>SUM(D264:D267)-D265</f>
        <v>47177140</v>
      </c>
      <c r="E263" s="55">
        <f>SUM(E264:E267)-E265</f>
        <v>8144923.67</v>
      </c>
    </row>
    <row r="264" spans="1:5" s="34" customFormat="1" ht="93">
      <c r="A264" s="108"/>
      <c r="B264" s="105"/>
      <c r="C264" s="45" t="s">
        <v>681</v>
      </c>
      <c r="D264" s="44">
        <f>4500000+500000+2800000+1000000+34677140</f>
        <v>43477140</v>
      </c>
      <c r="E264" s="44">
        <f>4445000</f>
        <v>4445000</v>
      </c>
    </row>
    <row r="265" spans="1:5" s="34" customFormat="1" ht="15">
      <c r="A265" s="108"/>
      <c r="B265" s="105"/>
      <c r="C265" s="45" t="s">
        <v>680</v>
      </c>
      <c r="D265" s="44">
        <v>34677140</v>
      </c>
      <c r="E265" s="44"/>
    </row>
    <row r="266" spans="1:5" s="34" customFormat="1" ht="30.75">
      <c r="A266" s="108"/>
      <c r="B266" s="105"/>
      <c r="C266" s="45" t="s">
        <v>140</v>
      </c>
      <c r="D266" s="44">
        <v>2200000</v>
      </c>
      <c r="E266" s="44">
        <v>2200000</v>
      </c>
    </row>
    <row r="267" spans="1:5" s="34" customFormat="1" ht="30.75">
      <c r="A267" s="108"/>
      <c r="B267" s="105"/>
      <c r="C267" s="45" t="s">
        <v>141</v>
      </c>
      <c r="D267" s="44">
        <f>2438000-938000</f>
        <v>1500000</v>
      </c>
      <c r="E267" s="44">
        <v>1499923.67</v>
      </c>
    </row>
    <row r="268" spans="1:5" s="34" customFormat="1" ht="30.75">
      <c r="A268" s="108"/>
      <c r="B268" s="105"/>
      <c r="C268" s="56" t="s">
        <v>139</v>
      </c>
      <c r="D268" s="55">
        <f>SUM(D269:D272)</f>
        <v>7752423.11</v>
      </c>
      <c r="E268" s="55">
        <f>SUM(E269:E272)</f>
        <v>5251793.11</v>
      </c>
    </row>
    <row r="269" spans="1:5" s="34" customFormat="1" ht="46.5">
      <c r="A269" s="108"/>
      <c r="B269" s="105"/>
      <c r="C269" s="45" t="s">
        <v>655</v>
      </c>
      <c r="D269" s="44">
        <f>4705000+915000</f>
        <v>5620000</v>
      </c>
      <c r="E269" s="44">
        <v>4700370</v>
      </c>
    </row>
    <row r="270" spans="1:5" s="34" customFormat="1" ht="78">
      <c r="A270" s="108"/>
      <c r="B270" s="105"/>
      <c r="C270" s="45" t="s">
        <v>668</v>
      </c>
      <c r="D270" s="44">
        <v>91000</v>
      </c>
      <c r="E270" s="44"/>
    </row>
    <row r="271" spans="1:5" s="34" customFormat="1" ht="30.75">
      <c r="A271" s="108"/>
      <c r="B271" s="105"/>
      <c r="C271" s="45" t="s">
        <v>130</v>
      </c>
      <c r="D271" s="44">
        <v>551423.11</v>
      </c>
      <c r="E271" s="44">
        <v>551423.11</v>
      </c>
    </row>
    <row r="272" spans="1:5" s="34" customFormat="1" ht="30.75">
      <c r="A272" s="108"/>
      <c r="B272" s="105"/>
      <c r="C272" s="45" t="s">
        <v>131</v>
      </c>
      <c r="D272" s="44">
        <v>1490000</v>
      </c>
      <c r="E272" s="44"/>
    </row>
    <row r="273" spans="1:5" s="34" customFormat="1" ht="30.75">
      <c r="A273" s="108"/>
      <c r="B273" s="105"/>
      <c r="C273" s="57" t="s">
        <v>52</v>
      </c>
      <c r="D273" s="55">
        <f>SUM(D274:D274)</f>
        <v>3500000</v>
      </c>
      <c r="E273" s="55">
        <f>SUM(E274:E274)</f>
        <v>741399.1</v>
      </c>
    </row>
    <row r="274" spans="1:5" s="34" customFormat="1" ht="30.75">
      <c r="A274" s="108"/>
      <c r="B274" s="105"/>
      <c r="C274" s="58" t="s">
        <v>132</v>
      </c>
      <c r="D274" s="44">
        <f>1738078-630858+2392780</f>
        <v>3500000</v>
      </c>
      <c r="E274" s="44">
        <f>741339.1+60</f>
        <v>741399.1</v>
      </c>
    </row>
    <row r="275" spans="1:5" s="34" customFormat="1" ht="30.75">
      <c r="A275" s="108"/>
      <c r="B275" s="105"/>
      <c r="C275" s="57" t="s">
        <v>669</v>
      </c>
      <c r="D275" s="55">
        <f>SUM(D276:D277)</f>
        <v>3777000</v>
      </c>
      <c r="E275" s="55">
        <f>SUM(E276:E277)</f>
        <v>0</v>
      </c>
    </row>
    <row r="276" spans="1:5" s="34" customFormat="1" ht="78">
      <c r="A276" s="108"/>
      <c r="B276" s="105"/>
      <c r="C276" s="58" t="s">
        <v>670</v>
      </c>
      <c r="D276" s="44">
        <v>234000</v>
      </c>
      <c r="E276" s="44"/>
    </row>
    <row r="277" spans="1:5" s="34" customFormat="1" ht="30.75">
      <c r="A277" s="108"/>
      <c r="B277" s="105"/>
      <c r="C277" s="58" t="s">
        <v>671</v>
      </c>
      <c r="D277" s="44">
        <v>3543000</v>
      </c>
      <c r="E277" s="44"/>
    </row>
    <row r="278" spans="1:5" s="34" customFormat="1" ht="53.25" customHeight="1">
      <c r="A278" s="108"/>
      <c r="B278" s="105"/>
      <c r="C278" s="56" t="s">
        <v>50</v>
      </c>
      <c r="D278" s="55">
        <f>D279</f>
        <v>1500000</v>
      </c>
      <c r="E278" s="55">
        <f>E279</f>
        <v>148974.12</v>
      </c>
    </row>
    <row r="279" spans="1:5" s="34" customFormat="1" ht="30.75">
      <c r="A279" s="108"/>
      <c r="B279" s="105"/>
      <c r="C279" s="58" t="s">
        <v>133</v>
      </c>
      <c r="D279" s="44">
        <v>1500000</v>
      </c>
      <c r="E279" s="44">
        <f>148974.12</f>
        <v>148974.12</v>
      </c>
    </row>
    <row r="280" spans="1:5" s="34" customFormat="1" ht="48" customHeight="1">
      <c r="A280" s="108"/>
      <c r="B280" s="105"/>
      <c r="C280" s="57" t="s">
        <v>2</v>
      </c>
      <c r="D280" s="55">
        <f>SUM(D281:D281)</f>
        <v>1500000</v>
      </c>
      <c r="E280" s="55">
        <f>SUM(E281:E281)</f>
        <v>0</v>
      </c>
    </row>
    <row r="281" spans="1:5" ht="46.5">
      <c r="A281" s="108"/>
      <c r="B281" s="105"/>
      <c r="C281" s="58" t="s">
        <v>134</v>
      </c>
      <c r="D281" s="44">
        <v>1500000</v>
      </c>
      <c r="E281" s="25"/>
    </row>
    <row r="282" spans="1:5" ht="51.75" customHeight="1">
      <c r="A282" s="108"/>
      <c r="B282" s="105"/>
      <c r="C282" s="57" t="s">
        <v>51</v>
      </c>
      <c r="D282" s="55">
        <f>SUM(D283:D283)</f>
        <v>1450000</v>
      </c>
      <c r="E282" s="55">
        <f>SUM(E283:E283)</f>
        <v>0</v>
      </c>
    </row>
    <row r="283" spans="1:5" ht="30.75">
      <c r="A283" s="108"/>
      <c r="B283" s="105"/>
      <c r="C283" s="58" t="s">
        <v>135</v>
      </c>
      <c r="D283" s="44">
        <v>1450000</v>
      </c>
      <c r="E283" s="25"/>
    </row>
    <row r="284" spans="1:5" ht="30.75">
      <c r="A284" s="108"/>
      <c r="B284" s="105"/>
      <c r="C284" s="57" t="s">
        <v>507</v>
      </c>
      <c r="D284" s="55">
        <f>D285</f>
        <v>446000</v>
      </c>
      <c r="E284" s="55">
        <f>E285</f>
        <v>0</v>
      </c>
    </row>
    <row r="285" spans="1:5" ht="62.25">
      <c r="A285" s="108"/>
      <c r="B285" s="105"/>
      <c r="C285" s="58" t="s">
        <v>506</v>
      </c>
      <c r="D285" s="44">
        <v>446000</v>
      </c>
      <c r="E285" s="44"/>
    </row>
    <row r="286" spans="1:5" ht="30.75">
      <c r="A286" s="108"/>
      <c r="B286" s="105"/>
      <c r="C286" s="57" t="s">
        <v>137</v>
      </c>
      <c r="D286" s="55">
        <f>D287</f>
        <v>869717</v>
      </c>
      <c r="E286" s="55">
        <f>E287</f>
        <v>54427.2</v>
      </c>
    </row>
    <row r="287" spans="1:5" ht="62.25">
      <c r="A287" s="108"/>
      <c r="B287" s="105"/>
      <c r="C287" s="58" t="s">
        <v>136</v>
      </c>
      <c r="D287" s="44">
        <v>869717</v>
      </c>
      <c r="E287" s="25">
        <f>54427.2</f>
        <v>54427.2</v>
      </c>
    </row>
    <row r="288" spans="1:5" ht="30.75">
      <c r="A288" s="108"/>
      <c r="B288" s="105"/>
      <c r="C288" s="57" t="s">
        <v>673</v>
      </c>
      <c r="D288" s="55">
        <f>D289</f>
        <v>3303000</v>
      </c>
      <c r="E288" s="55">
        <f>E289</f>
        <v>0</v>
      </c>
    </row>
    <row r="289" spans="1:6" ht="46.5">
      <c r="A289" s="108"/>
      <c r="B289" s="105"/>
      <c r="C289" s="58" t="s">
        <v>674</v>
      </c>
      <c r="D289" s="44">
        <v>3303000</v>
      </c>
      <c r="E289" s="44"/>
      <c r="F289" s="34"/>
    </row>
    <row r="290" spans="1:6" ht="30.75">
      <c r="A290" s="108"/>
      <c r="B290" s="105"/>
      <c r="C290" s="57" t="s">
        <v>675</v>
      </c>
      <c r="D290" s="55">
        <f>D291</f>
        <v>3000000</v>
      </c>
      <c r="E290" s="55">
        <f>E291</f>
        <v>0</v>
      </c>
      <c r="F290" s="34"/>
    </row>
    <row r="291" spans="1:6" ht="46.5">
      <c r="A291" s="109"/>
      <c r="B291" s="106"/>
      <c r="C291" s="58" t="s">
        <v>676</v>
      </c>
      <c r="D291" s="44">
        <v>3000000</v>
      </c>
      <c r="E291" s="44"/>
      <c r="F291" s="34"/>
    </row>
    <row r="292" spans="1:5" ht="15">
      <c r="A292" s="15" t="s">
        <v>55</v>
      </c>
      <c r="B292" s="139" t="s">
        <v>56</v>
      </c>
      <c r="C292" s="140"/>
      <c r="D292" s="46">
        <f>D293</f>
        <v>3492284.5</v>
      </c>
      <c r="E292" s="46">
        <f>E293</f>
        <v>476751.6</v>
      </c>
    </row>
    <row r="293" spans="1:5" ht="15">
      <c r="A293" s="15" t="s">
        <v>57</v>
      </c>
      <c r="B293" s="139" t="s">
        <v>56</v>
      </c>
      <c r="C293" s="140"/>
      <c r="D293" s="46">
        <f>D294+D303+D298+D296</f>
        <v>3492284.5</v>
      </c>
      <c r="E293" s="46">
        <f>E294+E303+E298+E296</f>
        <v>476751.6</v>
      </c>
    </row>
    <row r="294" spans="1:5" ht="15">
      <c r="A294" s="125" t="s">
        <v>58</v>
      </c>
      <c r="B294" s="120" t="s">
        <v>59</v>
      </c>
      <c r="C294" s="32"/>
      <c r="D294" s="35">
        <f>SUM(D295:D295)</f>
        <v>185000</v>
      </c>
      <c r="E294" s="35">
        <f>SUM(E295:E295)</f>
        <v>0</v>
      </c>
    </row>
    <row r="295" spans="1:5" ht="30.75">
      <c r="A295" s="125"/>
      <c r="B295" s="120"/>
      <c r="C295" s="32" t="s">
        <v>109</v>
      </c>
      <c r="D295" s="44">
        <v>185000</v>
      </c>
      <c r="E295" s="44"/>
    </row>
    <row r="296" spans="1:5" ht="15">
      <c r="A296" s="107" t="s">
        <v>102</v>
      </c>
      <c r="B296" s="128" t="s">
        <v>103</v>
      </c>
      <c r="C296" s="32"/>
      <c r="D296" s="55">
        <f>D297</f>
        <v>175000</v>
      </c>
      <c r="E296" s="55">
        <f>E297</f>
        <v>0</v>
      </c>
    </row>
    <row r="297" spans="1:5" ht="62.25">
      <c r="A297" s="109"/>
      <c r="B297" s="130"/>
      <c r="C297" s="32" t="s">
        <v>613</v>
      </c>
      <c r="D297" s="44">
        <v>175000</v>
      </c>
      <c r="E297" s="44"/>
    </row>
    <row r="298" spans="1:5" ht="15">
      <c r="A298" s="125" t="s">
        <v>126</v>
      </c>
      <c r="B298" s="120" t="s">
        <v>127</v>
      </c>
      <c r="C298" s="32"/>
      <c r="D298" s="35">
        <f>SUM(D299:D302)</f>
        <v>1395042</v>
      </c>
      <c r="E298" s="35">
        <f>SUM(E299:E302)</f>
        <v>476751.6</v>
      </c>
    </row>
    <row r="299" spans="1:5" ht="46.5">
      <c r="A299" s="125"/>
      <c r="B299" s="120"/>
      <c r="C299" s="32" t="s">
        <v>110</v>
      </c>
      <c r="D299" s="44">
        <f>40602+500000</f>
        <v>540602</v>
      </c>
      <c r="E299" s="25"/>
    </row>
    <row r="300" spans="1:5" ht="51.75" customHeight="1">
      <c r="A300" s="125"/>
      <c r="B300" s="120"/>
      <c r="C300" s="32" t="s">
        <v>111</v>
      </c>
      <c r="D300" s="44">
        <v>360260</v>
      </c>
      <c r="E300" s="25">
        <f>346758</f>
        <v>346758</v>
      </c>
    </row>
    <row r="301" spans="1:5" ht="46.5">
      <c r="A301" s="125"/>
      <c r="B301" s="120"/>
      <c r="C301" s="32" t="s">
        <v>112</v>
      </c>
      <c r="D301" s="44">
        <v>130000</v>
      </c>
      <c r="E301" s="25">
        <f>129993.6</f>
        <v>129993.6</v>
      </c>
    </row>
    <row r="302" spans="1:5" ht="62.25">
      <c r="A302" s="125"/>
      <c r="B302" s="120"/>
      <c r="C302" s="32" t="s">
        <v>113</v>
      </c>
      <c r="D302" s="44">
        <f>45398+318282+500</f>
        <v>364180</v>
      </c>
      <c r="E302" s="25"/>
    </row>
    <row r="303" spans="1:5" ht="15">
      <c r="A303" s="125" t="s">
        <v>124</v>
      </c>
      <c r="B303" s="120" t="s">
        <v>125</v>
      </c>
      <c r="C303" s="32"/>
      <c r="D303" s="35">
        <f>SUM(D304:D304)</f>
        <v>1737242.5</v>
      </c>
      <c r="E303" s="35">
        <f>SUM(E304:E304)</f>
        <v>0</v>
      </c>
    </row>
    <row r="304" spans="1:5" ht="46.5">
      <c r="A304" s="125"/>
      <c r="B304" s="120"/>
      <c r="C304" s="32" t="s">
        <v>108</v>
      </c>
      <c r="D304" s="33">
        <v>1737242.5</v>
      </c>
      <c r="E304" s="33"/>
    </row>
    <row r="305" spans="1:5" ht="46.5">
      <c r="A305" s="15" t="s">
        <v>60</v>
      </c>
      <c r="B305" s="16" t="s">
        <v>61</v>
      </c>
      <c r="C305" s="16"/>
      <c r="D305" s="29">
        <f>D306</f>
        <v>169393284.57999998</v>
      </c>
      <c r="E305" s="29">
        <f>E306</f>
        <v>23432848.27</v>
      </c>
    </row>
    <row r="306" spans="1:5" ht="46.5">
      <c r="A306" s="15" t="s">
        <v>62</v>
      </c>
      <c r="B306" s="16" t="s">
        <v>61</v>
      </c>
      <c r="C306" s="16"/>
      <c r="D306" s="29">
        <f>D307+D320+D380+D438+D315+D313+D378+D538+D536</f>
        <v>169393284.57999998</v>
      </c>
      <c r="E306" s="29">
        <f>E307+E320+E380+E438+E315+E313+E378+E538+E536</f>
        <v>23432848.27</v>
      </c>
    </row>
    <row r="307" spans="1:5" ht="15">
      <c r="A307" s="120" t="s">
        <v>63</v>
      </c>
      <c r="B307" s="120" t="s">
        <v>64</v>
      </c>
      <c r="C307" s="32"/>
      <c r="D307" s="35">
        <f>D308+D312</f>
        <v>26938000</v>
      </c>
      <c r="E307" s="35">
        <f>E308+E312</f>
        <v>233803.41</v>
      </c>
    </row>
    <row r="308" spans="1:5" ht="78">
      <c r="A308" s="120"/>
      <c r="B308" s="120"/>
      <c r="C308" s="32" t="s">
        <v>648</v>
      </c>
      <c r="D308" s="33">
        <f>D309+D310+D311+1000000</f>
        <v>1938000</v>
      </c>
      <c r="E308" s="33">
        <f>E309+E310+E311</f>
        <v>233803.41</v>
      </c>
    </row>
    <row r="309" spans="1:5" ht="30.75">
      <c r="A309" s="120"/>
      <c r="B309" s="120"/>
      <c r="C309" s="32" t="s">
        <v>639</v>
      </c>
      <c r="D309" s="33">
        <v>393000</v>
      </c>
      <c r="E309" s="25"/>
    </row>
    <row r="310" spans="1:5" ht="46.5">
      <c r="A310" s="120"/>
      <c r="B310" s="120"/>
      <c r="C310" s="32" t="s">
        <v>638</v>
      </c>
      <c r="D310" s="33">
        <v>300000</v>
      </c>
      <c r="E310" s="25"/>
    </row>
    <row r="311" spans="1:5" ht="30.75">
      <c r="A311" s="120"/>
      <c r="B311" s="120"/>
      <c r="C311" s="32" t="s">
        <v>618</v>
      </c>
      <c r="D311" s="33">
        <v>245000</v>
      </c>
      <c r="E311" s="25">
        <v>233803.41</v>
      </c>
    </row>
    <row r="312" spans="1:5" ht="78">
      <c r="A312" s="120"/>
      <c r="B312" s="120"/>
      <c r="C312" s="78" t="s">
        <v>464</v>
      </c>
      <c r="D312" s="33">
        <f>15000000+10000000</f>
        <v>25000000</v>
      </c>
      <c r="E312" s="25"/>
    </row>
    <row r="313" spans="1:5" ht="15">
      <c r="A313" s="120">
        <v>1216015</v>
      </c>
      <c r="B313" s="120" t="s">
        <v>65</v>
      </c>
      <c r="C313" s="32"/>
      <c r="D313" s="35">
        <f>D314</f>
        <v>3800000</v>
      </c>
      <c r="E313" s="35">
        <f>E314</f>
        <v>0</v>
      </c>
    </row>
    <row r="314" spans="1:5" ht="78">
      <c r="A314" s="120"/>
      <c r="B314" s="120"/>
      <c r="C314" s="32" t="s">
        <v>465</v>
      </c>
      <c r="D314" s="33">
        <f>5000000-1200000</f>
        <v>3800000</v>
      </c>
      <c r="E314" s="33"/>
    </row>
    <row r="315" spans="1:5" ht="15">
      <c r="A315" s="120">
        <v>1216030</v>
      </c>
      <c r="B315" s="120" t="s">
        <v>66</v>
      </c>
      <c r="C315" s="32"/>
      <c r="D315" s="35">
        <f>SUM(D316:D319)</f>
        <v>1180000</v>
      </c>
      <c r="E315" s="35">
        <f>SUM(E316:E319)</f>
        <v>0</v>
      </c>
    </row>
    <row r="316" spans="1:5" ht="30.75">
      <c r="A316" s="120"/>
      <c r="B316" s="120"/>
      <c r="C316" s="32" t="s">
        <v>614</v>
      </c>
      <c r="D316" s="33">
        <v>50000</v>
      </c>
      <c r="E316" s="33"/>
    </row>
    <row r="317" spans="1:5" ht="51.75" customHeight="1">
      <c r="A317" s="120"/>
      <c r="B317" s="120"/>
      <c r="C317" s="64" t="s">
        <v>555</v>
      </c>
      <c r="D317" s="14">
        <v>200000</v>
      </c>
      <c r="E317" s="33"/>
    </row>
    <row r="318" spans="1:5" ht="48" customHeight="1">
      <c r="A318" s="120"/>
      <c r="B318" s="120"/>
      <c r="C318" s="64" t="s">
        <v>142</v>
      </c>
      <c r="D318" s="14">
        <v>490000</v>
      </c>
      <c r="E318" s="33"/>
    </row>
    <row r="319" spans="1:5" ht="46.5">
      <c r="A319" s="120"/>
      <c r="B319" s="120"/>
      <c r="C319" s="22" t="s">
        <v>143</v>
      </c>
      <c r="D319" s="14">
        <v>440000</v>
      </c>
      <c r="E319" s="33"/>
    </row>
    <row r="320" spans="1:5" ht="15" customHeight="1">
      <c r="A320" s="125" t="s">
        <v>67</v>
      </c>
      <c r="B320" s="120" t="s">
        <v>68</v>
      </c>
      <c r="C320" s="32"/>
      <c r="D320" s="35">
        <f>SUM(D321:D377)</f>
        <v>18647430.819999997</v>
      </c>
      <c r="E320" s="35">
        <f>SUM(E321:E377)</f>
        <v>1026734.5999999997</v>
      </c>
    </row>
    <row r="321" spans="1:5" ht="15">
      <c r="A321" s="125"/>
      <c r="B321" s="120"/>
      <c r="C321" s="95" t="s">
        <v>615</v>
      </c>
      <c r="D321" s="14">
        <f>1000000+450000</f>
        <v>1450000</v>
      </c>
      <c r="E321" s="25"/>
    </row>
    <row r="322" spans="1:5" ht="30.75">
      <c r="A322" s="125"/>
      <c r="B322" s="120"/>
      <c r="C322" s="45" t="s">
        <v>556</v>
      </c>
      <c r="D322" s="25">
        <f>10490-2061.15</f>
        <v>8428.85</v>
      </c>
      <c r="E322" s="25">
        <f>8428.85</f>
        <v>8428.85</v>
      </c>
    </row>
    <row r="323" spans="1:5" ht="30.75">
      <c r="A323" s="125"/>
      <c r="B323" s="120"/>
      <c r="C323" s="71" t="s">
        <v>180</v>
      </c>
      <c r="D323" s="25">
        <v>110000</v>
      </c>
      <c r="E323" s="25">
        <f>8842.56+76951</f>
        <v>85793.56</v>
      </c>
    </row>
    <row r="324" spans="1:5" ht="30.75">
      <c r="A324" s="125"/>
      <c r="B324" s="120"/>
      <c r="C324" s="45" t="s">
        <v>156</v>
      </c>
      <c r="D324" s="25">
        <f>50000+40000-79000</f>
        <v>11000</v>
      </c>
      <c r="E324" s="25"/>
    </row>
    <row r="325" spans="1:5" ht="30.75">
      <c r="A325" s="125"/>
      <c r="B325" s="120"/>
      <c r="C325" s="71" t="s">
        <v>187</v>
      </c>
      <c r="D325" s="25">
        <f>531055.84+300000</f>
        <v>831055.84</v>
      </c>
      <c r="E325" s="25"/>
    </row>
    <row r="326" spans="1:5" ht="46.5">
      <c r="A326" s="125"/>
      <c r="B326" s="120"/>
      <c r="C326" s="96" t="s">
        <v>148</v>
      </c>
      <c r="D326" s="14">
        <v>226413</v>
      </c>
      <c r="E326" s="25"/>
    </row>
    <row r="327" spans="1:5" ht="46.5">
      <c r="A327" s="125"/>
      <c r="B327" s="120"/>
      <c r="C327" s="100" t="s">
        <v>546</v>
      </c>
      <c r="D327" s="44">
        <f>504910-250000</f>
        <v>254910</v>
      </c>
      <c r="E327" s="25"/>
    </row>
    <row r="328" spans="1:5" ht="46.5">
      <c r="A328" s="125"/>
      <c r="B328" s="120"/>
      <c r="C328" s="100" t="s">
        <v>151</v>
      </c>
      <c r="D328" s="44">
        <v>461725</v>
      </c>
      <c r="E328" s="25"/>
    </row>
    <row r="329" spans="1:5" ht="43.5" customHeight="1">
      <c r="A329" s="125"/>
      <c r="B329" s="120"/>
      <c r="C329" s="45" t="s">
        <v>164</v>
      </c>
      <c r="D329" s="44">
        <v>300000</v>
      </c>
      <c r="E329" s="25"/>
    </row>
    <row r="330" spans="1:5" ht="46.5">
      <c r="A330" s="125"/>
      <c r="B330" s="120"/>
      <c r="C330" s="45" t="s">
        <v>161</v>
      </c>
      <c r="D330" s="44">
        <v>300000</v>
      </c>
      <c r="E330" s="25"/>
    </row>
    <row r="331" spans="1:5" ht="46.5">
      <c r="A331" s="125"/>
      <c r="B331" s="120"/>
      <c r="C331" s="32" t="s">
        <v>150</v>
      </c>
      <c r="D331" s="14">
        <v>350892</v>
      </c>
      <c r="E331" s="25"/>
    </row>
    <row r="332" spans="1:5" ht="30.75">
      <c r="A332" s="125"/>
      <c r="B332" s="120"/>
      <c r="C332" s="32" t="s">
        <v>146</v>
      </c>
      <c r="D332" s="14">
        <v>350000</v>
      </c>
      <c r="E332" s="25">
        <f>17000</f>
        <v>17000</v>
      </c>
    </row>
    <row r="333" spans="1:5" ht="46.5">
      <c r="A333" s="125"/>
      <c r="B333" s="120"/>
      <c r="C333" s="78" t="s">
        <v>147</v>
      </c>
      <c r="D333" s="14">
        <v>471500</v>
      </c>
      <c r="E333" s="25"/>
    </row>
    <row r="334" spans="1:5" ht="30.75">
      <c r="A334" s="125"/>
      <c r="B334" s="120"/>
      <c r="C334" s="78" t="s">
        <v>144</v>
      </c>
      <c r="D334" s="14">
        <v>265000</v>
      </c>
      <c r="E334" s="25">
        <f>17500</f>
        <v>17500</v>
      </c>
    </row>
    <row r="335" spans="1:5" ht="30.75">
      <c r="A335" s="125"/>
      <c r="B335" s="120"/>
      <c r="C335" s="100" t="s">
        <v>152</v>
      </c>
      <c r="D335" s="44">
        <v>257255</v>
      </c>
      <c r="E335" s="25"/>
    </row>
    <row r="336" spans="1:5" ht="46.5">
      <c r="A336" s="125"/>
      <c r="B336" s="120"/>
      <c r="C336" s="100" t="s">
        <v>545</v>
      </c>
      <c r="D336" s="44">
        <v>258750</v>
      </c>
      <c r="E336" s="25"/>
    </row>
    <row r="337" spans="1:5" ht="46.5">
      <c r="A337" s="125"/>
      <c r="B337" s="120"/>
      <c r="C337" s="100" t="s">
        <v>153</v>
      </c>
      <c r="D337" s="44">
        <v>247250</v>
      </c>
      <c r="E337" s="25"/>
    </row>
    <row r="338" spans="1:5" ht="46.5">
      <c r="A338" s="125"/>
      <c r="B338" s="120"/>
      <c r="C338" s="45" t="s">
        <v>162</v>
      </c>
      <c r="D338" s="44">
        <v>500000</v>
      </c>
      <c r="E338" s="25"/>
    </row>
    <row r="339" spans="1:5" ht="30.75">
      <c r="A339" s="125"/>
      <c r="B339" s="120"/>
      <c r="C339" s="45" t="s">
        <v>163</v>
      </c>
      <c r="D339" s="44">
        <v>300000</v>
      </c>
      <c r="E339" s="25"/>
    </row>
    <row r="340" spans="1:5" ht="46.5">
      <c r="A340" s="125"/>
      <c r="B340" s="120"/>
      <c r="C340" s="78" t="s">
        <v>149</v>
      </c>
      <c r="D340" s="33">
        <v>885500</v>
      </c>
      <c r="E340" s="25"/>
    </row>
    <row r="341" spans="1:5" ht="30.75">
      <c r="A341" s="125"/>
      <c r="B341" s="120"/>
      <c r="C341" s="45" t="s">
        <v>466</v>
      </c>
      <c r="D341" s="44">
        <f>590000-490000</f>
        <v>100000</v>
      </c>
      <c r="E341" s="25"/>
    </row>
    <row r="342" spans="1:5" ht="45" customHeight="1">
      <c r="A342" s="125"/>
      <c r="B342" s="120"/>
      <c r="C342" s="45" t="s">
        <v>165</v>
      </c>
      <c r="D342" s="25">
        <v>400000</v>
      </c>
      <c r="E342" s="25"/>
    </row>
    <row r="343" spans="1:5" ht="30.75">
      <c r="A343" s="125"/>
      <c r="B343" s="120"/>
      <c r="C343" s="45" t="s">
        <v>159</v>
      </c>
      <c r="D343" s="44">
        <f>975000-875000</f>
        <v>100000</v>
      </c>
      <c r="E343" s="25"/>
    </row>
    <row r="344" spans="1:5" ht="46.5">
      <c r="A344" s="125"/>
      <c r="B344" s="120"/>
      <c r="C344" s="100" t="s">
        <v>547</v>
      </c>
      <c r="D344" s="44">
        <f>519800-245000</f>
        <v>274800</v>
      </c>
      <c r="E344" s="25"/>
    </row>
    <row r="345" spans="1:5" ht="30.75">
      <c r="A345" s="125"/>
      <c r="B345" s="120"/>
      <c r="C345" s="32" t="s">
        <v>158</v>
      </c>
      <c r="D345" s="9">
        <v>650000</v>
      </c>
      <c r="E345" s="25"/>
    </row>
    <row r="346" spans="1:5" ht="30.75">
      <c r="A346" s="125"/>
      <c r="B346" s="120"/>
      <c r="C346" s="45" t="s">
        <v>160</v>
      </c>
      <c r="D346" s="44">
        <f>785000-685000</f>
        <v>100000</v>
      </c>
      <c r="E346" s="25"/>
    </row>
    <row r="347" spans="1:5" ht="46.5">
      <c r="A347" s="125"/>
      <c r="B347" s="120"/>
      <c r="C347" s="32" t="s">
        <v>157</v>
      </c>
      <c r="D347" s="9">
        <v>1400000</v>
      </c>
      <c r="E347" s="25"/>
    </row>
    <row r="348" spans="1:5" ht="30.75">
      <c r="A348" s="125"/>
      <c r="B348" s="120"/>
      <c r="C348" s="45" t="s">
        <v>145</v>
      </c>
      <c r="D348" s="44">
        <v>634829.13</v>
      </c>
      <c r="E348" s="25"/>
    </row>
    <row r="349" spans="1:5" ht="30.75">
      <c r="A349" s="125"/>
      <c r="B349" s="120"/>
      <c r="C349" s="45" t="s">
        <v>616</v>
      </c>
      <c r="D349" s="44">
        <f>900000</f>
        <v>900000</v>
      </c>
      <c r="E349" s="25"/>
    </row>
    <row r="350" spans="1:5" ht="30.75">
      <c r="A350" s="125"/>
      <c r="B350" s="120"/>
      <c r="C350" s="45" t="s">
        <v>617</v>
      </c>
      <c r="D350" s="44">
        <f>854105</f>
        <v>854105</v>
      </c>
      <c r="E350" s="25"/>
    </row>
    <row r="351" spans="1:5" ht="46.5">
      <c r="A351" s="125"/>
      <c r="B351" s="120"/>
      <c r="C351" s="78" t="s">
        <v>154</v>
      </c>
      <c r="D351" s="44">
        <v>520000</v>
      </c>
      <c r="E351" s="25"/>
    </row>
    <row r="352" spans="1:5" ht="46.5">
      <c r="A352" s="125"/>
      <c r="B352" s="120"/>
      <c r="C352" s="45" t="s">
        <v>155</v>
      </c>
      <c r="D352" s="44">
        <v>1580000</v>
      </c>
      <c r="E352" s="25"/>
    </row>
    <row r="353" spans="1:5" ht="36" customHeight="1">
      <c r="A353" s="125"/>
      <c r="B353" s="120"/>
      <c r="C353" s="45" t="s">
        <v>182</v>
      </c>
      <c r="D353" s="25">
        <v>445423.29</v>
      </c>
      <c r="E353" s="25">
        <f>445423.29</f>
        <v>445423.29</v>
      </c>
    </row>
    <row r="354" spans="1:5" ht="30.75">
      <c r="A354" s="125"/>
      <c r="B354" s="120"/>
      <c r="C354" s="45" t="s">
        <v>557</v>
      </c>
      <c r="D354" s="25">
        <v>65000</v>
      </c>
      <c r="E354" s="25">
        <f>9244.7+50992.5</f>
        <v>60237.2</v>
      </c>
    </row>
    <row r="355" spans="1:5" ht="30.75">
      <c r="A355" s="125"/>
      <c r="B355" s="120"/>
      <c r="C355" s="45" t="s">
        <v>181</v>
      </c>
      <c r="D355" s="25">
        <f>69510-62873.48</f>
        <v>6636.519999999997</v>
      </c>
      <c r="E355" s="25">
        <f>6636.52</f>
        <v>6636.52</v>
      </c>
    </row>
    <row r="356" spans="1:5" ht="37.5" customHeight="1">
      <c r="A356" s="125"/>
      <c r="B356" s="120"/>
      <c r="C356" s="45" t="s">
        <v>186</v>
      </c>
      <c r="D356" s="25">
        <v>100000</v>
      </c>
      <c r="E356" s="25">
        <f>8823.97+87363</f>
        <v>96186.97</v>
      </c>
    </row>
    <row r="357" spans="1:5" ht="37.5" customHeight="1">
      <c r="A357" s="125"/>
      <c r="B357" s="120"/>
      <c r="C357" s="45" t="s">
        <v>656</v>
      </c>
      <c r="D357" s="25">
        <v>130000</v>
      </c>
      <c r="E357" s="25"/>
    </row>
    <row r="358" spans="1:5" ht="30.75">
      <c r="A358" s="125"/>
      <c r="B358" s="120"/>
      <c r="C358" s="45" t="s">
        <v>185</v>
      </c>
      <c r="D358" s="25">
        <v>100000</v>
      </c>
      <c r="E358" s="25">
        <f>7765.43+74096</f>
        <v>81861.43</v>
      </c>
    </row>
    <row r="359" spans="1:5" ht="30.75">
      <c r="A359" s="125"/>
      <c r="B359" s="120"/>
      <c r="C359" s="45" t="s">
        <v>183</v>
      </c>
      <c r="D359" s="25">
        <v>75000</v>
      </c>
      <c r="E359" s="25">
        <f>4934.29</f>
        <v>4934.29</v>
      </c>
    </row>
    <row r="360" spans="1:5" ht="30.75">
      <c r="A360" s="125"/>
      <c r="B360" s="120"/>
      <c r="C360" s="45" t="s">
        <v>175</v>
      </c>
      <c r="D360" s="25">
        <f>75000-63000</f>
        <v>12000</v>
      </c>
      <c r="E360" s="25"/>
    </row>
    <row r="361" spans="1:5" ht="30.75">
      <c r="A361" s="125"/>
      <c r="B361" s="120"/>
      <c r="C361" s="45" t="s">
        <v>172</v>
      </c>
      <c r="D361" s="25">
        <f>75000-64000</f>
        <v>11000</v>
      </c>
      <c r="E361" s="25"/>
    </row>
    <row r="362" spans="1:5" ht="30.75">
      <c r="A362" s="125"/>
      <c r="B362" s="120"/>
      <c r="C362" s="45" t="s">
        <v>178</v>
      </c>
      <c r="D362" s="25">
        <f>75000+32000</f>
        <v>107000</v>
      </c>
      <c r="E362" s="25">
        <f>9459.16</f>
        <v>9459.16</v>
      </c>
    </row>
    <row r="363" spans="1:5" ht="30.75">
      <c r="A363" s="125"/>
      <c r="B363" s="120"/>
      <c r="C363" s="45" t="s">
        <v>558</v>
      </c>
      <c r="D363" s="25">
        <f>55000+64934.63</f>
        <v>119934.63</v>
      </c>
      <c r="E363" s="25">
        <f>9058.99+41563</f>
        <v>50621.99</v>
      </c>
    </row>
    <row r="364" spans="1:5" ht="30.75">
      <c r="A364" s="125"/>
      <c r="B364" s="120"/>
      <c r="C364" s="45" t="s">
        <v>166</v>
      </c>
      <c r="D364" s="25">
        <f>75000-64000</f>
        <v>11000</v>
      </c>
      <c r="E364" s="25"/>
    </row>
    <row r="365" spans="1:5" ht="30.75">
      <c r="A365" s="125"/>
      <c r="B365" s="120"/>
      <c r="C365" s="45" t="s">
        <v>177</v>
      </c>
      <c r="D365" s="25">
        <f>75000+20000</f>
        <v>95000</v>
      </c>
      <c r="E365" s="25">
        <f>8548.58</f>
        <v>8548.58</v>
      </c>
    </row>
    <row r="366" spans="1:5" ht="30.75">
      <c r="A366" s="125"/>
      <c r="B366" s="120"/>
      <c r="C366" s="45" t="s">
        <v>168</v>
      </c>
      <c r="D366" s="25">
        <f>75000+20000</f>
        <v>95000</v>
      </c>
      <c r="E366" s="25">
        <f>8548.58</f>
        <v>8548.58</v>
      </c>
    </row>
    <row r="367" spans="1:5" ht="30.75">
      <c r="A367" s="125"/>
      <c r="B367" s="120"/>
      <c r="C367" s="45" t="s">
        <v>179</v>
      </c>
      <c r="D367" s="25">
        <f>75000+20000</f>
        <v>95000</v>
      </c>
      <c r="E367" s="25">
        <f>8545.58+3</f>
        <v>8548.58</v>
      </c>
    </row>
    <row r="368" spans="1:5" ht="33.75" customHeight="1">
      <c r="A368" s="125"/>
      <c r="B368" s="120"/>
      <c r="C368" s="45" t="s">
        <v>170</v>
      </c>
      <c r="D368" s="25">
        <f>75000-60500</f>
        <v>14500</v>
      </c>
      <c r="E368" s="25"/>
    </row>
    <row r="369" spans="1:5" ht="30.75">
      <c r="A369" s="125"/>
      <c r="B369" s="120"/>
      <c r="C369" s="45" t="s">
        <v>173</v>
      </c>
      <c r="D369" s="25">
        <f>75000-64100</f>
        <v>10900</v>
      </c>
      <c r="E369" s="25"/>
    </row>
    <row r="370" spans="1:5" ht="30.75">
      <c r="A370" s="125"/>
      <c r="B370" s="120"/>
      <c r="C370" s="45" t="s">
        <v>174</v>
      </c>
      <c r="D370" s="25">
        <f>75000+32000</f>
        <v>107000</v>
      </c>
      <c r="E370" s="25">
        <f>9459.16</f>
        <v>9459.16</v>
      </c>
    </row>
    <row r="371" spans="1:5" ht="30.75">
      <c r="A371" s="125"/>
      <c r="B371" s="120"/>
      <c r="C371" s="45" t="s">
        <v>184</v>
      </c>
      <c r="D371" s="25">
        <v>100000</v>
      </c>
      <c r="E371" s="25">
        <f>8061.7+81477</f>
        <v>89538.7</v>
      </c>
    </row>
    <row r="372" spans="1:5" ht="30.75">
      <c r="A372" s="125"/>
      <c r="B372" s="120"/>
      <c r="C372" s="45" t="s">
        <v>176</v>
      </c>
      <c r="D372" s="25">
        <f>75000-64100</f>
        <v>10900</v>
      </c>
      <c r="E372" s="25"/>
    </row>
    <row r="373" spans="1:5" ht="30.75">
      <c r="A373" s="125"/>
      <c r="B373" s="120"/>
      <c r="C373" s="45" t="s">
        <v>169</v>
      </c>
      <c r="D373" s="25">
        <f>75000-62500</f>
        <v>12500</v>
      </c>
      <c r="E373" s="25"/>
    </row>
    <row r="374" spans="1:5" ht="30.75">
      <c r="A374" s="125"/>
      <c r="B374" s="120"/>
      <c r="C374" s="45" t="s">
        <v>527</v>
      </c>
      <c r="D374" s="25">
        <f>75000-62500</f>
        <v>12500</v>
      </c>
      <c r="E374" s="25"/>
    </row>
    <row r="375" spans="1:5" ht="30.75">
      <c r="A375" s="125"/>
      <c r="B375" s="120"/>
      <c r="C375" s="45" t="s">
        <v>167</v>
      </c>
      <c r="D375" s="25">
        <f>75000+32000</f>
        <v>107000</v>
      </c>
      <c r="E375" s="25">
        <f>9459.16</f>
        <v>9459.16</v>
      </c>
    </row>
    <row r="376" spans="1:5" ht="30.75">
      <c r="A376" s="125"/>
      <c r="B376" s="120"/>
      <c r="C376" s="45" t="s">
        <v>171</v>
      </c>
      <c r="D376" s="25">
        <f>75000+20000</f>
        <v>95000</v>
      </c>
      <c r="E376" s="25">
        <f>8548.58</f>
        <v>8548.58</v>
      </c>
    </row>
    <row r="377" spans="1:5" ht="30.75">
      <c r="A377" s="125"/>
      <c r="B377" s="120"/>
      <c r="C377" s="45" t="s">
        <v>188</v>
      </c>
      <c r="D377" s="44">
        <f>854039.56+450000+51683</f>
        <v>1355722.56</v>
      </c>
      <c r="E377" s="25"/>
    </row>
    <row r="378" spans="1:5" ht="15">
      <c r="A378" s="120">
        <v>1217363</v>
      </c>
      <c r="B378" s="120" t="s">
        <v>44</v>
      </c>
      <c r="C378" s="32"/>
      <c r="D378" s="35">
        <f>D379</f>
        <v>39643</v>
      </c>
      <c r="E378" s="35">
        <f>E379</f>
        <v>0</v>
      </c>
    </row>
    <row r="379" spans="1:5" ht="46.5">
      <c r="A379" s="120"/>
      <c r="B379" s="120"/>
      <c r="C379" s="32" t="s">
        <v>640</v>
      </c>
      <c r="D379" s="33">
        <f>39643-38488.35+38488.35</f>
        <v>39643</v>
      </c>
      <c r="E379" s="25"/>
    </row>
    <row r="380" spans="1:5" ht="15">
      <c r="A380" s="117" t="s">
        <v>69</v>
      </c>
      <c r="B380" s="118" t="s">
        <v>70</v>
      </c>
      <c r="C380" s="94"/>
      <c r="D380" s="35">
        <f>SUM(D381:D437)</f>
        <v>48331336.569999985</v>
      </c>
      <c r="E380" s="35">
        <f>SUM(E381:E437)</f>
        <v>3841852.72</v>
      </c>
    </row>
    <row r="381" spans="1:5" ht="30.75">
      <c r="A381" s="117"/>
      <c r="B381" s="118"/>
      <c r="C381" s="32" t="s">
        <v>210</v>
      </c>
      <c r="D381" s="33">
        <v>1154000</v>
      </c>
      <c r="E381" s="25">
        <f>9000</f>
        <v>9000</v>
      </c>
    </row>
    <row r="382" spans="1:5" ht="30.75">
      <c r="A382" s="117"/>
      <c r="B382" s="118"/>
      <c r="C382" s="97" t="s">
        <v>231</v>
      </c>
      <c r="D382" s="25">
        <v>1400000</v>
      </c>
      <c r="E382" s="25">
        <v>69600</v>
      </c>
    </row>
    <row r="383" spans="1:5" ht="30.75">
      <c r="A383" s="117"/>
      <c r="B383" s="118"/>
      <c r="C383" s="45" t="s">
        <v>205</v>
      </c>
      <c r="D383" s="44">
        <v>1500000</v>
      </c>
      <c r="E383" s="25">
        <v>103000</v>
      </c>
    </row>
    <row r="384" spans="1:5" ht="62.25">
      <c r="A384" s="117"/>
      <c r="B384" s="118"/>
      <c r="C384" s="97" t="s">
        <v>550</v>
      </c>
      <c r="D384" s="25">
        <v>1500000</v>
      </c>
      <c r="E384" s="25">
        <v>71134.73</v>
      </c>
    </row>
    <row r="385" spans="1:5" ht="30.75">
      <c r="A385" s="117"/>
      <c r="B385" s="118"/>
      <c r="C385" s="32" t="s">
        <v>528</v>
      </c>
      <c r="D385" s="9">
        <v>1490000</v>
      </c>
      <c r="E385" s="25">
        <v>70965</v>
      </c>
    </row>
    <row r="386" spans="1:5" ht="30.75">
      <c r="A386" s="117"/>
      <c r="B386" s="118"/>
      <c r="C386" s="98" t="s">
        <v>204</v>
      </c>
      <c r="D386" s="25">
        <v>1490000</v>
      </c>
      <c r="E386" s="25">
        <v>70965</v>
      </c>
    </row>
    <row r="387" spans="1:5" ht="46.5">
      <c r="A387" s="117"/>
      <c r="B387" s="118"/>
      <c r="C387" s="45" t="s">
        <v>199</v>
      </c>
      <c r="D387" s="65">
        <f>656000-646000</f>
        <v>10000</v>
      </c>
      <c r="E387" s="25"/>
    </row>
    <row r="388" spans="1:5" ht="46.5">
      <c r="A388" s="117"/>
      <c r="B388" s="118"/>
      <c r="C388" s="45" t="s">
        <v>202</v>
      </c>
      <c r="D388" s="65">
        <v>1181000</v>
      </c>
      <c r="E388" s="25"/>
    </row>
    <row r="389" spans="1:5" ht="30.75">
      <c r="A389" s="117"/>
      <c r="B389" s="118"/>
      <c r="C389" s="45" t="s">
        <v>224</v>
      </c>
      <c r="D389" s="25">
        <v>161206</v>
      </c>
      <c r="E389" s="25"/>
    </row>
    <row r="390" spans="1:5" ht="30.75">
      <c r="A390" s="117"/>
      <c r="B390" s="118"/>
      <c r="C390" s="45" t="s">
        <v>207</v>
      </c>
      <c r="D390" s="44">
        <v>280000</v>
      </c>
      <c r="E390" s="25">
        <v>36000</v>
      </c>
    </row>
    <row r="391" spans="1:5" ht="30.75">
      <c r="A391" s="117"/>
      <c r="B391" s="118"/>
      <c r="C391" s="45" t="s">
        <v>208</v>
      </c>
      <c r="D391" s="44">
        <v>500000</v>
      </c>
      <c r="E391" s="25">
        <v>32000</v>
      </c>
    </row>
    <row r="392" spans="1:5" ht="30.75">
      <c r="A392" s="117"/>
      <c r="B392" s="118"/>
      <c r="C392" s="45" t="s">
        <v>209</v>
      </c>
      <c r="D392" s="44">
        <v>100000</v>
      </c>
      <c r="E392" s="25">
        <v>26000</v>
      </c>
    </row>
    <row r="393" spans="1:5" ht="30.75">
      <c r="A393" s="117"/>
      <c r="B393" s="118"/>
      <c r="C393" s="45" t="s">
        <v>529</v>
      </c>
      <c r="D393" s="44">
        <v>30272.94</v>
      </c>
      <c r="E393" s="25"/>
    </row>
    <row r="394" spans="1:5" ht="30.75">
      <c r="A394" s="117"/>
      <c r="B394" s="118"/>
      <c r="C394" s="45" t="s">
        <v>530</v>
      </c>
      <c r="D394" s="44">
        <v>60000</v>
      </c>
      <c r="E394" s="25"/>
    </row>
    <row r="395" spans="1:5" ht="30.75">
      <c r="A395" s="117"/>
      <c r="B395" s="118"/>
      <c r="C395" s="32" t="s">
        <v>203</v>
      </c>
      <c r="D395" s="9">
        <v>1490000</v>
      </c>
      <c r="E395" s="25">
        <v>70965</v>
      </c>
    </row>
    <row r="396" spans="1:5" ht="30.75">
      <c r="A396" s="117"/>
      <c r="B396" s="118"/>
      <c r="C396" s="78" t="s">
        <v>192</v>
      </c>
      <c r="D396" s="44">
        <v>600000</v>
      </c>
      <c r="E396" s="25">
        <v>80000</v>
      </c>
    </row>
    <row r="397" spans="1:5" ht="30.75">
      <c r="A397" s="117"/>
      <c r="B397" s="118"/>
      <c r="C397" s="71" t="s">
        <v>219</v>
      </c>
      <c r="D397" s="14">
        <f>535175.6+14242</f>
        <v>549417.6</v>
      </c>
      <c r="E397" s="25">
        <f>338320</f>
        <v>338320</v>
      </c>
    </row>
    <row r="398" spans="1:5" ht="30.75">
      <c r="A398" s="117"/>
      <c r="B398" s="118"/>
      <c r="C398" s="95" t="s">
        <v>552</v>
      </c>
      <c r="D398" s="14">
        <f>425000+387887.2</f>
        <v>812887.2</v>
      </c>
      <c r="E398" s="25"/>
    </row>
    <row r="399" spans="1:5" ht="30.75">
      <c r="A399" s="117"/>
      <c r="B399" s="118"/>
      <c r="C399" s="95" t="s">
        <v>553</v>
      </c>
      <c r="D399" s="14">
        <f>425000+447194.8</f>
        <v>872194.8</v>
      </c>
      <c r="E399" s="25"/>
    </row>
    <row r="400" spans="1:5" ht="30.75">
      <c r="A400" s="117"/>
      <c r="B400" s="118"/>
      <c r="C400" s="96" t="s">
        <v>213</v>
      </c>
      <c r="D400" s="14">
        <v>163736</v>
      </c>
      <c r="E400" s="25"/>
    </row>
    <row r="401" spans="1:5" ht="30.75">
      <c r="A401" s="117"/>
      <c r="B401" s="118"/>
      <c r="C401" s="71" t="s">
        <v>214</v>
      </c>
      <c r="D401" s="44">
        <v>262000</v>
      </c>
      <c r="E401" s="25"/>
    </row>
    <row r="402" spans="1:5" ht="53.25" customHeight="1">
      <c r="A402" s="117"/>
      <c r="B402" s="118"/>
      <c r="C402" s="32" t="s">
        <v>198</v>
      </c>
      <c r="D402" s="14">
        <f>1250000-1130000</f>
        <v>120000</v>
      </c>
      <c r="E402" s="25"/>
    </row>
    <row r="403" spans="1:5" ht="30.75">
      <c r="A403" s="117"/>
      <c r="B403" s="118"/>
      <c r="C403" s="45" t="s">
        <v>222</v>
      </c>
      <c r="D403" s="25">
        <v>248321.41</v>
      </c>
      <c r="E403" s="25">
        <f>61079.6</f>
        <v>61079.6</v>
      </c>
    </row>
    <row r="404" spans="1:5" ht="30.75">
      <c r="A404" s="117"/>
      <c r="B404" s="118"/>
      <c r="C404" s="71" t="s">
        <v>544</v>
      </c>
      <c r="D404" s="44">
        <v>1700000</v>
      </c>
      <c r="E404" s="25">
        <v>103000</v>
      </c>
    </row>
    <row r="405" spans="1:5" ht="30.75">
      <c r="A405" s="117"/>
      <c r="B405" s="118"/>
      <c r="C405" s="95" t="s">
        <v>641</v>
      </c>
      <c r="D405" s="14">
        <v>900000</v>
      </c>
      <c r="E405" s="25"/>
    </row>
    <row r="406" spans="1:5" ht="30.75">
      <c r="A406" s="117"/>
      <c r="B406" s="118"/>
      <c r="C406" s="95" t="s">
        <v>195</v>
      </c>
      <c r="D406" s="14">
        <v>1490000</v>
      </c>
      <c r="E406" s="25">
        <f>83464</f>
        <v>83464</v>
      </c>
    </row>
    <row r="407" spans="1:5" ht="30.75">
      <c r="A407" s="117"/>
      <c r="B407" s="118"/>
      <c r="C407" s="71" t="s">
        <v>232</v>
      </c>
      <c r="D407" s="44">
        <f>365279-53561+180745.4</f>
        <v>492463.4</v>
      </c>
      <c r="E407" s="25">
        <f>302826</f>
        <v>302826</v>
      </c>
    </row>
    <row r="408" spans="1:5" ht="30.75">
      <c r="A408" s="117"/>
      <c r="B408" s="118"/>
      <c r="C408" s="95" t="s">
        <v>189</v>
      </c>
      <c r="D408" s="14">
        <v>800000</v>
      </c>
      <c r="E408" s="25">
        <f>103000</f>
        <v>103000</v>
      </c>
    </row>
    <row r="409" spans="1:5" ht="30.75">
      <c r="A409" s="117"/>
      <c r="B409" s="118"/>
      <c r="C409" s="71" t="s">
        <v>531</v>
      </c>
      <c r="D409" s="44">
        <v>760000</v>
      </c>
      <c r="E409" s="25">
        <f>88000</f>
        <v>88000</v>
      </c>
    </row>
    <row r="410" spans="1:5" ht="30.75">
      <c r="A410" s="117"/>
      <c r="B410" s="118"/>
      <c r="C410" s="71" t="s">
        <v>206</v>
      </c>
      <c r="D410" s="44">
        <v>450000</v>
      </c>
      <c r="E410" s="25">
        <f>60000</f>
        <v>60000</v>
      </c>
    </row>
    <row r="411" spans="1:5" ht="30.75">
      <c r="A411" s="117"/>
      <c r="B411" s="118"/>
      <c r="C411" s="45" t="s">
        <v>200</v>
      </c>
      <c r="D411" s="65">
        <f>537000-527000</f>
        <v>10000</v>
      </c>
      <c r="E411" s="25"/>
    </row>
    <row r="412" spans="1:5" ht="30.75">
      <c r="A412" s="117"/>
      <c r="B412" s="118"/>
      <c r="C412" s="71" t="s">
        <v>220</v>
      </c>
      <c r="D412" s="14">
        <v>1384000</v>
      </c>
      <c r="E412" s="25"/>
    </row>
    <row r="413" spans="1:5" ht="30.75">
      <c r="A413" s="117"/>
      <c r="B413" s="118"/>
      <c r="C413" s="71" t="s">
        <v>223</v>
      </c>
      <c r="D413" s="25">
        <v>37043</v>
      </c>
      <c r="E413" s="25"/>
    </row>
    <row r="414" spans="1:5" ht="30.75">
      <c r="A414" s="117"/>
      <c r="B414" s="118"/>
      <c r="C414" s="45" t="s">
        <v>201</v>
      </c>
      <c r="D414" s="65">
        <f>1480000-1360000</f>
        <v>120000</v>
      </c>
      <c r="E414" s="25"/>
    </row>
    <row r="415" spans="1:5" ht="30.75">
      <c r="A415" s="117"/>
      <c r="B415" s="118"/>
      <c r="C415" s="96" t="s">
        <v>194</v>
      </c>
      <c r="D415" s="44">
        <v>1490000</v>
      </c>
      <c r="E415" s="25">
        <v>7500</v>
      </c>
    </row>
    <row r="416" spans="1:5" ht="30.75">
      <c r="A416" s="117"/>
      <c r="B416" s="118"/>
      <c r="C416" s="32" t="s">
        <v>197</v>
      </c>
      <c r="D416" s="14">
        <f>2400000-2390000</f>
        <v>10000</v>
      </c>
      <c r="E416" s="25"/>
    </row>
    <row r="417" spans="1:5" ht="30.75">
      <c r="A417" s="117"/>
      <c r="B417" s="118"/>
      <c r="C417" s="45" t="s">
        <v>233</v>
      </c>
      <c r="D417" s="44">
        <f>363531+1878+198289.2</f>
        <v>563698.2</v>
      </c>
      <c r="E417" s="25">
        <f>356469</f>
        <v>356469</v>
      </c>
    </row>
    <row r="418" spans="1:5" ht="30.75">
      <c r="A418" s="117"/>
      <c r="B418" s="118"/>
      <c r="C418" s="71" t="s">
        <v>216</v>
      </c>
      <c r="D418" s="44">
        <f>283000+707439.2</f>
        <v>990439.2</v>
      </c>
      <c r="E418" s="25"/>
    </row>
    <row r="419" spans="1:5" ht="15">
      <c r="A419" s="117"/>
      <c r="B419" s="118"/>
      <c r="C419" s="45" t="s">
        <v>190</v>
      </c>
      <c r="D419" s="44">
        <f>700000-350000</f>
        <v>350000</v>
      </c>
      <c r="E419" s="25">
        <v>60000</v>
      </c>
    </row>
    <row r="420" spans="1:5" ht="15">
      <c r="A420" s="117"/>
      <c r="B420" s="118"/>
      <c r="C420" s="71" t="s">
        <v>215</v>
      </c>
      <c r="D420" s="44">
        <f>918000+53238.81</f>
        <v>971238.81</v>
      </c>
      <c r="E420" s="25"/>
    </row>
    <row r="421" spans="1:5" ht="15">
      <c r="A421" s="117"/>
      <c r="B421" s="118"/>
      <c r="C421" s="99" t="s">
        <v>196</v>
      </c>
      <c r="D421" s="44">
        <v>700000</v>
      </c>
      <c r="E421" s="25">
        <f>631827.24</f>
        <v>631827.24</v>
      </c>
    </row>
    <row r="422" spans="1:5" ht="46.5">
      <c r="A422" s="117"/>
      <c r="B422" s="118"/>
      <c r="C422" s="45" t="s">
        <v>225</v>
      </c>
      <c r="D422" s="44">
        <v>3442224</v>
      </c>
      <c r="E422" s="25"/>
    </row>
    <row r="423" spans="1:5" ht="15">
      <c r="A423" s="117"/>
      <c r="B423" s="118"/>
      <c r="C423" s="101" t="s">
        <v>191</v>
      </c>
      <c r="D423" s="44">
        <f>1000000-500000</f>
        <v>500000</v>
      </c>
      <c r="E423" s="25">
        <v>78000</v>
      </c>
    </row>
    <row r="424" spans="1:5" ht="46.5">
      <c r="A424" s="117"/>
      <c r="B424" s="118"/>
      <c r="C424" s="45" t="s">
        <v>226</v>
      </c>
      <c r="D424" s="44">
        <v>134745</v>
      </c>
      <c r="E424" s="25"/>
    </row>
    <row r="425" spans="1:5" ht="30.75">
      <c r="A425" s="117"/>
      <c r="B425" s="118"/>
      <c r="C425" s="32" t="s">
        <v>642</v>
      </c>
      <c r="D425" s="14">
        <f>1500000-1400000</f>
        <v>100000</v>
      </c>
      <c r="E425" s="25">
        <v>93000</v>
      </c>
    </row>
    <row r="426" spans="1:5" ht="30.75">
      <c r="A426" s="117"/>
      <c r="B426" s="118"/>
      <c r="C426" s="97" t="s">
        <v>234</v>
      </c>
      <c r="D426" s="25">
        <f>1300000-600000</f>
        <v>700000</v>
      </c>
      <c r="E426" s="25">
        <v>80000</v>
      </c>
    </row>
    <row r="427" spans="1:5" ht="30.75">
      <c r="A427" s="117"/>
      <c r="B427" s="118"/>
      <c r="C427" s="45" t="s">
        <v>227</v>
      </c>
      <c r="D427" s="44">
        <v>356592.92</v>
      </c>
      <c r="E427" s="25">
        <f>28000</f>
        <v>28000</v>
      </c>
    </row>
    <row r="428" spans="1:5" ht="15">
      <c r="A428" s="117"/>
      <c r="B428" s="118"/>
      <c r="C428" s="45" t="s">
        <v>228</v>
      </c>
      <c r="D428" s="44">
        <v>588015.05</v>
      </c>
      <c r="E428" s="25"/>
    </row>
    <row r="429" spans="1:5" ht="30.75">
      <c r="A429" s="117"/>
      <c r="B429" s="118"/>
      <c r="C429" s="45" t="s">
        <v>218</v>
      </c>
      <c r="D429" s="44">
        <v>4898912.05</v>
      </c>
      <c r="E429" s="25"/>
    </row>
    <row r="430" spans="1:5" ht="30.75">
      <c r="A430" s="117"/>
      <c r="B430" s="118"/>
      <c r="C430" s="32" t="s">
        <v>193</v>
      </c>
      <c r="D430" s="14">
        <f>750000-670000</f>
        <v>80000</v>
      </c>
      <c r="E430" s="25">
        <f>80000</f>
        <v>80000</v>
      </c>
    </row>
    <row r="431" spans="1:5" ht="62.25">
      <c r="A431" s="117"/>
      <c r="B431" s="118"/>
      <c r="C431" s="45" t="s">
        <v>221</v>
      </c>
      <c r="D431" s="44">
        <f>3655000-2155000</f>
        <v>1500000</v>
      </c>
      <c r="E431" s="25"/>
    </row>
    <row r="432" spans="1:5" ht="30.75">
      <c r="A432" s="117"/>
      <c r="B432" s="118"/>
      <c r="C432" s="32" t="s">
        <v>212</v>
      </c>
      <c r="D432" s="33">
        <f>272000+26246.8</f>
        <v>298246.8</v>
      </c>
      <c r="E432" s="25"/>
    </row>
    <row r="433" spans="1:5" ht="30.75">
      <c r="A433" s="117"/>
      <c r="B433" s="118"/>
      <c r="C433" s="32" t="s">
        <v>211</v>
      </c>
      <c r="D433" s="33">
        <f>477000+100962.8-177000</f>
        <v>400962.80000000005</v>
      </c>
      <c r="E433" s="25"/>
    </row>
    <row r="434" spans="1:5" ht="30.75">
      <c r="A434" s="117"/>
      <c r="B434" s="118"/>
      <c r="C434" s="45" t="s">
        <v>229</v>
      </c>
      <c r="D434" s="44">
        <v>640000</v>
      </c>
      <c r="E434" s="25">
        <f>525585</f>
        <v>525585</v>
      </c>
    </row>
    <row r="435" spans="1:5" ht="15">
      <c r="A435" s="117"/>
      <c r="B435" s="118"/>
      <c r="C435" s="45" t="s">
        <v>217</v>
      </c>
      <c r="D435" s="44">
        <v>56033.83</v>
      </c>
      <c r="E435" s="25">
        <f>54212.15</f>
        <v>54212.15</v>
      </c>
    </row>
    <row r="436" spans="1:5" ht="30.75">
      <c r="A436" s="117"/>
      <c r="B436" s="118"/>
      <c r="C436" s="45" t="s">
        <v>230</v>
      </c>
      <c r="D436" s="44">
        <v>341685.56</v>
      </c>
      <c r="E436" s="25"/>
    </row>
    <row r="437" spans="1:5" ht="30.75">
      <c r="A437" s="117"/>
      <c r="B437" s="118"/>
      <c r="C437" s="32" t="s">
        <v>532</v>
      </c>
      <c r="D437" s="14">
        <f>1500000+3600000</f>
        <v>5100000</v>
      </c>
      <c r="E437" s="25">
        <f>67940</f>
        <v>67940</v>
      </c>
    </row>
    <row r="438" spans="1:5" ht="15" customHeight="1">
      <c r="A438" s="121" t="s">
        <v>71</v>
      </c>
      <c r="B438" s="123" t="s">
        <v>46</v>
      </c>
      <c r="C438" s="94"/>
      <c r="D438" s="35">
        <f>D439+D441+D443+D470+D477+D531</f>
        <v>68746924.19</v>
      </c>
      <c r="E438" s="35">
        <f>E439+E441+E443+E470+E477+E531</f>
        <v>17756497.54</v>
      </c>
    </row>
    <row r="439" spans="1:5" ht="15">
      <c r="A439" s="141"/>
      <c r="B439" s="142"/>
      <c r="C439" s="60" t="s">
        <v>72</v>
      </c>
      <c r="D439" s="35">
        <f>SUM(D440:D440)</f>
        <v>200000</v>
      </c>
      <c r="E439" s="35">
        <f>SUM(E440:E440)</f>
        <v>0</v>
      </c>
    </row>
    <row r="440" spans="1:5" ht="30.75">
      <c r="A440" s="141"/>
      <c r="B440" s="142"/>
      <c r="C440" s="45" t="s">
        <v>657</v>
      </c>
      <c r="D440" s="44">
        <v>200000</v>
      </c>
      <c r="E440" s="25"/>
    </row>
    <row r="441" spans="1:5" ht="30.75">
      <c r="A441" s="141"/>
      <c r="B441" s="142"/>
      <c r="C441" s="60" t="s">
        <v>73</v>
      </c>
      <c r="D441" s="35">
        <f>D442</f>
        <v>3741000</v>
      </c>
      <c r="E441" s="35">
        <f>E442</f>
        <v>0</v>
      </c>
    </row>
    <row r="442" spans="1:5" ht="15">
      <c r="A442" s="141"/>
      <c r="B442" s="142"/>
      <c r="C442" s="45" t="s">
        <v>235</v>
      </c>
      <c r="D442" s="33">
        <f>2000000+1741000</f>
        <v>3741000</v>
      </c>
      <c r="E442" s="25"/>
    </row>
    <row r="443" spans="1:5" ht="15">
      <c r="A443" s="141"/>
      <c r="B443" s="142"/>
      <c r="C443" s="60" t="s">
        <v>74</v>
      </c>
      <c r="D443" s="35">
        <f>SUM(D444:D469)</f>
        <v>17122123.64</v>
      </c>
      <c r="E443" s="35">
        <f>SUM(E444:E469)</f>
        <v>1551605.43</v>
      </c>
    </row>
    <row r="444" spans="1:5" ht="15">
      <c r="A444" s="141"/>
      <c r="B444" s="142"/>
      <c r="C444" s="32" t="s">
        <v>240</v>
      </c>
      <c r="D444" s="14">
        <v>360000</v>
      </c>
      <c r="E444" s="25"/>
    </row>
    <row r="445" spans="1:5" ht="15">
      <c r="A445" s="141"/>
      <c r="B445" s="142"/>
      <c r="C445" s="32" t="s">
        <v>246</v>
      </c>
      <c r="D445" s="9">
        <v>150000</v>
      </c>
      <c r="E445" s="25"/>
    </row>
    <row r="446" spans="1:5" ht="30.75">
      <c r="A446" s="141"/>
      <c r="B446" s="142"/>
      <c r="C446" s="32" t="s">
        <v>247</v>
      </c>
      <c r="D446" s="9">
        <v>320000</v>
      </c>
      <c r="E446" s="25"/>
    </row>
    <row r="447" spans="1:5" ht="46.5">
      <c r="A447" s="141"/>
      <c r="B447" s="142"/>
      <c r="C447" s="32" t="s">
        <v>244</v>
      </c>
      <c r="D447" s="9">
        <v>1430000</v>
      </c>
      <c r="E447" s="25"/>
    </row>
    <row r="448" spans="1:5" ht="15">
      <c r="A448" s="141"/>
      <c r="B448" s="142"/>
      <c r="C448" s="32" t="s">
        <v>249</v>
      </c>
      <c r="D448" s="9">
        <v>1000000</v>
      </c>
      <c r="E448" s="25"/>
    </row>
    <row r="449" spans="1:5" ht="15">
      <c r="A449" s="141"/>
      <c r="B449" s="142"/>
      <c r="C449" s="38" t="s">
        <v>250</v>
      </c>
      <c r="D449" s="44">
        <v>26000</v>
      </c>
      <c r="E449" s="25"/>
    </row>
    <row r="450" spans="1:5" ht="46.5">
      <c r="A450" s="141"/>
      <c r="B450" s="142"/>
      <c r="C450" s="38" t="s">
        <v>251</v>
      </c>
      <c r="D450" s="44">
        <v>190000</v>
      </c>
      <c r="E450" s="25"/>
    </row>
    <row r="451" spans="1:5" ht="15">
      <c r="A451" s="141"/>
      <c r="B451" s="142"/>
      <c r="C451" s="37" t="s">
        <v>252</v>
      </c>
      <c r="D451" s="44">
        <v>1241000</v>
      </c>
      <c r="E451" s="25">
        <f>1241000</f>
        <v>1241000</v>
      </c>
    </row>
    <row r="452" spans="1:5" ht="30.75">
      <c r="A452" s="141"/>
      <c r="B452" s="142"/>
      <c r="C452" s="66" t="s">
        <v>241</v>
      </c>
      <c r="D452" s="9">
        <v>614265</v>
      </c>
      <c r="E452" s="25"/>
    </row>
    <row r="453" spans="1:5" ht="46.5">
      <c r="A453" s="141"/>
      <c r="B453" s="142"/>
      <c r="C453" s="66" t="s">
        <v>237</v>
      </c>
      <c r="D453" s="14">
        <f>1100000-1080000</f>
        <v>20000</v>
      </c>
      <c r="E453" s="25"/>
    </row>
    <row r="454" spans="1:5" ht="15">
      <c r="A454" s="141"/>
      <c r="B454" s="142"/>
      <c r="C454" s="32" t="s">
        <v>658</v>
      </c>
      <c r="D454" s="14">
        <v>144705.34</v>
      </c>
      <c r="E454" s="25"/>
    </row>
    <row r="455" spans="1:5" ht="30.75">
      <c r="A455" s="141"/>
      <c r="B455" s="142"/>
      <c r="C455" s="66" t="s">
        <v>238</v>
      </c>
      <c r="D455" s="14">
        <f>3900000+254770-3900000</f>
        <v>254770</v>
      </c>
      <c r="E455" s="25"/>
    </row>
    <row r="456" spans="1:5" ht="30.75">
      <c r="A456" s="141"/>
      <c r="B456" s="142"/>
      <c r="C456" s="66" t="s">
        <v>239</v>
      </c>
      <c r="D456" s="14">
        <v>700000</v>
      </c>
      <c r="E456" s="25"/>
    </row>
    <row r="457" spans="1:5" ht="46.5">
      <c r="A457" s="141"/>
      <c r="B457" s="142"/>
      <c r="C457" s="66" t="s">
        <v>248</v>
      </c>
      <c r="D457" s="9">
        <f>14210020-5000000-5000000</f>
        <v>4210020</v>
      </c>
      <c r="E457" s="25"/>
    </row>
    <row r="458" spans="1:5" ht="30.75">
      <c r="A458" s="141"/>
      <c r="B458" s="142"/>
      <c r="C458" s="32" t="s">
        <v>457</v>
      </c>
      <c r="D458" s="14">
        <f>3000000-1500000+1500000</f>
        <v>3000000</v>
      </c>
      <c r="E458" s="25"/>
    </row>
    <row r="459" spans="1:5" ht="15">
      <c r="A459" s="141"/>
      <c r="B459" s="142"/>
      <c r="C459" s="45" t="s">
        <v>454</v>
      </c>
      <c r="D459" s="44">
        <v>571636</v>
      </c>
      <c r="E459" s="25"/>
    </row>
    <row r="460" spans="1:5" ht="46.5">
      <c r="A460" s="141"/>
      <c r="B460" s="142"/>
      <c r="C460" s="37" t="s">
        <v>253</v>
      </c>
      <c r="D460" s="44">
        <v>777385</v>
      </c>
      <c r="E460" s="25">
        <f>310605.43</f>
        <v>310605.43</v>
      </c>
    </row>
    <row r="461" spans="1:5" ht="30.75">
      <c r="A461" s="141"/>
      <c r="B461" s="142"/>
      <c r="C461" s="45" t="s">
        <v>455</v>
      </c>
      <c r="D461" s="44">
        <v>200000</v>
      </c>
      <c r="E461" s="25"/>
    </row>
    <row r="462" spans="1:5" ht="30.75">
      <c r="A462" s="141"/>
      <c r="B462" s="142"/>
      <c r="C462" s="37" t="s">
        <v>254</v>
      </c>
      <c r="D462" s="25">
        <v>436721.88</v>
      </c>
      <c r="E462" s="25"/>
    </row>
    <row r="463" spans="1:5" ht="15">
      <c r="A463" s="141"/>
      <c r="B463" s="142"/>
      <c r="C463" s="45" t="s">
        <v>456</v>
      </c>
      <c r="D463" s="44">
        <v>198701.8</v>
      </c>
      <c r="E463" s="25"/>
    </row>
    <row r="464" spans="1:5" ht="46.5">
      <c r="A464" s="141"/>
      <c r="B464" s="142"/>
      <c r="C464" s="66" t="s">
        <v>236</v>
      </c>
      <c r="D464" s="9">
        <f>1150000-1100000</f>
        <v>50000</v>
      </c>
      <c r="E464" s="25"/>
    </row>
    <row r="465" spans="1:5" ht="46.5">
      <c r="A465" s="141"/>
      <c r="B465" s="142"/>
      <c r="C465" s="66" t="s">
        <v>533</v>
      </c>
      <c r="D465" s="14">
        <f>1520000-1470000</f>
        <v>50000</v>
      </c>
      <c r="E465" s="25"/>
    </row>
    <row r="466" spans="1:5" ht="46.5">
      <c r="A466" s="141"/>
      <c r="B466" s="142"/>
      <c r="C466" s="66" t="s">
        <v>242</v>
      </c>
      <c r="D466" s="9">
        <f>45375+30000</f>
        <v>75375</v>
      </c>
      <c r="E466" s="25"/>
    </row>
    <row r="467" spans="1:5" ht="46.5">
      <c r="A467" s="141"/>
      <c r="B467" s="142"/>
      <c r="C467" s="66" t="s">
        <v>243</v>
      </c>
      <c r="D467" s="9">
        <f>503500+96467.92</f>
        <v>599967.92</v>
      </c>
      <c r="E467" s="25"/>
    </row>
    <row r="468" spans="1:5" ht="30.75">
      <c r="A468" s="141"/>
      <c r="B468" s="142"/>
      <c r="C468" s="37" t="s">
        <v>255</v>
      </c>
      <c r="D468" s="44">
        <v>90000</v>
      </c>
      <c r="E468" s="25"/>
    </row>
    <row r="469" spans="1:5" ht="30.75">
      <c r="A469" s="141"/>
      <c r="B469" s="142"/>
      <c r="C469" s="66" t="s">
        <v>245</v>
      </c>
      <c r="D469" s="9">
        <v>411575.7</v>
      </c>
      <c r="E469" s="25"/>
    </row>
    <row r="470" spans="1:5" ht="15">
      <c r="A470" s="141"/>
      <c r="B470" s="142"/>
      <c r="C470" s="60" t="s">
        <v>75</v>
      </c>
      <c r="D470" s="35">
        <f>SUM(D471:D476)</f>
        <v>16467156</v>
      </c>
      <c r="E470" s="35">
        <f>SUM(E471:E476)</f>
        <v>14042107</v>
      </c>
    </row>
    <row r="471" spans="1:5" ht="15">
      <c r="A471" s="141"/>
      <c r="B471" s="142"/>
      <c r="C471" s="22" t="s">
        <v>258</v>
      </c>
      <c r="D471" s="14">
        <v>10342100</v>
      </c>
      <c r="E471" s="14">
        <f>5817900+440004+2195600</f>
        <v>8453504</v>
      </c>
    </row>
    <row r="472" spans="1:5" ht="15">
      <c r="A472" s="141"/>
      <c r="B472" s="142"/>
      <c r="C472" s="37" t="s">
        <v>660</v>
      </c>
      <c r="D472" s="44">
        <v>4900000</v>
      </c>
      <c r="E472" s="14">
        <v>4900000</v>
      </c>
    </row>
    <row r="473" spans="1:5" ht="15">
      <c r="A473" s="141"/>
      <c r="B473" s="142"/>
      <c r="C473" s="37" t="s">
        <v>661</v>
      </c>
      <c r="D473" s="44">
        <v>150000</v>
      </c>
      <c r="E473" s="14"/>
    </row>
    <row r="474" spans="1:5" ht="15">
      <c r="A474" s="141"/>
      <c r="B474" s="142"/>
      <c r="C474" s="37" t="s">
        <v>256</v>
      </c>
      <c r="D474" s="44">
        <f>897622-376.8</f>
        <v>897245.2</v>
      </c>
      <c r="E474" s="14">
        <f>688603</f>
        <v>688603</v>
      </c>
    </row>
    <row r="475" spans="1:5" ht="46.5">
      <c r="A475" s="141"/>
      <c r="B475" s="142"/>
      <c r="C475" s="37" t="s">
        <v>659</v>
      </c>
      <c r="D475" s="44">
        <v>150000</v>
      </c>
      <c r="E475" s="14"/>
    </row>
    <row r="476" spans="1:5" ht="30.75">
      <c r="A476" s="141"/>
      <c r="B476" s="142"/>
      <c r="C476" s="37" t="s">
        <v>257</v>
      </c>
      <c r="D476" s="44">
        <f>27434+376.8</f>
        <v>27810.8</v>
      </c>
      <c r="E476" s="14"/>
    </row>
    <row r="477" spans="1:5" ht="15">
      <c r="A477" s="141"/>
      <c r="B477" s="142"/>
      <c r="C477" s="60" t="s">
        <v>76</v>
      </c>
      <c r="D477" s="35">
        <f>SUM(D478:D530)</f>
        <v>27717644.55</v>
      </c>
      <c r="E477" s="35">
        <f>SUM(E478:E530)</f>
        <v>2162785.11</v>
      </c>
    </row>
    <row r="478" spans="1:5" ht="46.5">
      <c r="A478" s="141"/>
      <c r="B478" s="142"/>
      <c r="C478" s="67" t="s">
        <v>275</v>
      </c>
      <c r="D478" s="44">
        <v>106763.8</v>
      </c>
      <c r="E478" s="25"/>
    </row>
    <row r="479" spans="1:5" ht="46.5">
      <c r="A479" s="141"/>
      <c r="B479" s="142"/>
      <c r="C479" s="37" t="s">
        <v>534</v>
      </c>
      <c r="D479" s="44">
        <f>90000-60000</f>
        <v>30000</v>
      </c>
      <c r="E479" s="25"/>
    </row>
    <row r="480" spans="1:5" ht="46.5">
      <c r="A480" s="141"/>
      <c r="B480" s="142"/>
      <c r="C480" s="67" t="s">
        <v>274</v>
      </c>
      <c r="D480" s="44">
        <v>203310.64</v>
      </c>
      <c r="E480" s="25"/>
    </row>
    <row r="481" spans="1:5" ht="46.5">
      <c r="A481" s="141"/>
      <c r="B481" s="142"/>
      <c r="C481" s="37" t="s">
        <v>535</v>
      </c>
      <c r="D481" s="44">
        <v>90000</v>
      </c>
      <c r="E481" s="25"/>
    </row>
    <row r="482" spans="1:5" ht="46.5">
      <c r="A482" s="141"/>
      <c r="B482" s="142"/>
      <c r="C482" s="37" t="s">
        <v>536</v>
      </c>
      <c r="D482" s="44">
        <f>175000-125000</f>
        <v>50000</v>
      </c>
      <c r="E482" s="25"/>
    </row>
    <row r="483" spans="1:5" ht="46.5">
      <c r="A483" s="141"/>
      <c r="B483" s="142"/>
      <c r="C483" s="37" t="s">
        <v>537</v>
      </c>
      <c r="D483" s="44">
        <f>320000-280000</f>
        <v>40000</v>
      </c>
      <c r="E483" s="25"/>
    </row>
    <row r="484" spans="1:5" ht="46.5">
      <c r="A484" s="141"/>
      <c r="B484" s="142"/>
      <c r="C484" s="37" t="s">
        <v>538</v>
      </c>
      <c r="D484" s="44">
        <v>125000</v>
      </c>
      <c r="E484" s="25"/>
    </row>
    <row r="485" spans="1:5" ht="46.5">
      <c r="A485" s="141"/>
      <c r="B485" s="142"/>
      <c r="C485" s="37" t="s">
        <v>284</v>
      </c>
      <c r="D485" s="44">
        <v>90000</v>
      </c>
      <c r="E485" s="25"/>
    </row>
    <row r="486" spans="1:5" ht="46.5">
      <c r="A486" s="141"/>
      <c r="B486" s="142"/>
      <c r="C486" s="37" t="s">
        <v>539</v>
      </c>
      <c r="D486" s="44">
        <f>245000-200000</f>
        <v>45000</v>
      </c>
      <c r="E486" s="25"/>
    </row>
    <row r="487" spans="1:5" ht="30.75">
      <c r="A487" s="141"/>
      <c r="B487" s="142"/>
      <c r="C487" s="82" t="s">
        <v>295</v>
      </c>
      <c r="D487" s="44">
        <f>6312000+728000-6300000</f>
        <v>740000</v>
      </c>
      <c r="E487" s="25"/>
    </row>
    <row r="488" spans="1:5" ht="30.75">
      <c r="A488" s="141"/>
      <c r="B488" s="142"/>
      <c r="C488" s="32" t="s">
        <v>281</v>
      </c>
      <c r="D488" s="33">
        <v>850000</v>
      </c>
      <c r="E488" s="25"/>
    </row>
    <row r="489" spans="1:5" ht="46.5">
      <c r="A489" s="141"/>
      <c r="B489" s="142"/>
      <c r="C489" s="37" t="s">
        <v>289</v>
      </c>
      <c r="D489" s="44">
        <f>95100-65000</f>
        <v>30100</v>
      </c>
      <c r="E489" s="25"/>
    </row>
    <row r="490" spans="1:5" ht="46.5">
      <c r="A490" s="141"/>
      <c r="B490" s="142"/>
      <c r="C490" s="37" t="s">
        <v>287</v>
      </c>
      <c r="D490" s="44">
        <f>343600-300000</f>
        <v>43600</v>
      </c>
      <c r="E490" s="25"/>
    </row>
    <row r="491" spans="1:5" ht="30.75">
      <c r="A491" s="141"/>
      <c r="B491" s="142"/>
      <c r="C491" s="82" t="s">
        <v>302</v>
      </c>
      <c r="D491" s="44">
        <v>720000</v>
      </c>
      <c r="E491" s="25"/>
    </row>
    <row r="492" spans="1:5" ht="46.5">
      <c r="A492" s="141"/>
      <c r="B492" s="142"/>
      <c r="C492" s="37" t="s">
        <v>286</v>
      </c>
      <c r="D492" s="44">
        <v>390000</v>
      </c>
      <c r="E492" s="25"/>
    </row>
    <row r="493" spans="1:5" ht="46.5">
      <c r="A493" s="141"/>
      <c r="B493" s="142"/>
      <c r="C493" s="37" t="s">
        <v>288</v>
      </c>
      <c r="D493" s="44">
        <v>364100</v>
      </c>
      <c r="E493" s="25"/>
    </row>
    <row r="494" spans="1:5" ht="46.5">
      <c r="A494" s="141"/>
      <c r="B494" s="142"/>
      <c r="C494" s="37" t="s">
        <v>267</v>
      </c>
      <c r="D494" s="44">
        <v>225000</v>
      </c>
      <c r="E494" s="25"/>
    </row>
    <row r="495" spans="1:5" ht="46.5">
      <c r="A495" s="141"/>
      <c r="B495" s="142"/>
      <c r="C495" s="64" t="s">
        <v>268</v>
      </c>
      <c r="D495" s="44">
        <v>250000</v>
      </c>
      <c r="E495" s="25"/>
    </row>
    <row r="496" spans="1:5" ht="30.75">
      <c r="A496" s="141"/>
      <c r="B496" s="142"/>
      <c r="C496" s="37" t="s">
        <v>283</v>
      </c>
      <c r="D496" s="44">
        <v>200000</v>
      </c>
      <c r="E496" s="25"/>
    </row>
    <row r="497" spans="1:5" ht="46.5">
      <c r="A497" s="141"/>
      <c r="B497" s="142"/>
      <c r="C497" s="37" t="s">
        <v>554</v>
      </c>
      <c r="D497" s="44">
        <v>400000</v>
      </c>
      <c r="E497" s="25"/>
    </row>
    <row r="498" spans="1:5" ht="46.5">
      <c r="A498" s="141"/>
      <c r="B498" s="142"/>
      <c r="C498" s="22" t="s">
        <v>260</v>
      </c>
      <c r="D498" s="33">
        <v>327750</v>
      </c>
      <c r="E498" s="25"/>
    </row>
    <row r="499" spans="1:5" ht="30.75">
      <c r="A499" s="141"/>
      <c r="B499" s="142"/>
      <c r="C499" s="83" t="s">
        <v>261</v>
      </c>
      <c r="D499" s="33">
        <v>637125</v>
      </c>
      <c r="E499" s="25"/>
    </row>
    <row r="500" spans="1:5" ht="30.75">
      <c r="A500" s="141"/>
      <c r="B500" s="142"/>
      <c r="C500" s="37" t="s">
        <v>291</v>
      </c>
      <c r="D500" s="44">
        <v>421067.74</v>
      </c>
      <c r="E500" s="25">
        <v>421067.74</v>
      </c>
    </row>
    <row r="501" spans="1:5" ht="46.5">
      <c r="A501" s="141"/>
      <c r="B501" s="142"/>
      <c r="C501" s="64" t="s">
        <v>276</v>
      </c>
      <c r="D501" s="44">
        <v>1610000</v>
      </c>
      <c r="E501" s="25"/>
    </row>
    <row r="502" spans="1:5" ht="30.75">
      <c r="A502" s="141"/>
      <c r="B502" s="142"/>
      <c r="C502" s="37" t="s">
        <v>266</v>
      </c>
      <c r="D502" s="44">
        <v>365000</v>
      </c>
      <c r="E502" s="25"/>
    </row>
    <row r="503" spans="1:5" ht="30.75">
      <c r="A503" s="141"/>
      <c r="B503" s="142"/>
      <c r="C503" s="82" t="s">
        <v>551</v>
      </c>
      <c r="D503" s="44">
        <f>1650000-1500000</f>
        <v>150000</v>
      </c>
      <c r="E503" s="25"/>
    </row>
    <row r="504" spans="1:5" ht="46.5">
      <c r="A504" s="141"/>
      <c r="B504" s="142"/>
      <c r="C504" s="83" t="s">
        <v>264</v>
      </c>
      <c r="D504" s="33">
        <v>301300</v>
      </c>
      <c r="E504" s="25"/>
    </row>
    <row r="505" spans="1:5" ht="46.5">
      <c r="A505" s="141"/>
      <c r="B505" s="142"/>
      <c r="C505" s="64" t="s">
        <v>278</v>
      </c>
      <c r="D505" s="44">
        <v>1280000</v>
      </c>
      <c r="E505" s="25"/>
    </row>
    <row r="506" spans="1:5" ht="30.75">
      <c r="A506" s="141"/>
      <c r="B506" s="142"/>
      <c r="C506" s="64" t="s">
        <v>271</v>
      </c>
      <c r="D506" s="44">
        <v>120000</v>
      </c>
      <c r="E506" s="25"/>
    </row>
    <row r="507" spans="1:5" ht="15">
      <c r="A507" s="141"/>
      <c r="B507" s="142"/>
      <c r="C507" s="82" t="s">
        <v>299</v>
      </c>
      <c r="D507" s="44">
        <v>1450000</v>
      </c>
      <c r="E507" s="25"/>
    </row>
    <row r="508" spans="1:5" ht="63" customHeight="1">
      <c r="A508" s="141"/>
      <c r="B508" s="142"/>
      <c r="C508" s="83" t="s">
        <v>262</v>
      </c>
      <c r="D508" s="33">
        <v>178250</v>
      </c>
      <c r="E508" s="25"/>
    </row>
    <row r="509" spans="1:5" ht="30.75">
      <c r="A509" s="141"/>
      <c r="B509" s="142"/>
      <c r="C509" s="64" t="s">
        <v>279</v>
      </c>
      <c r="D509" s="44">
        <v>520000</v>
      </c>
      <c r="E509" s="25"/>
    </row>
    <row r="510" spans="1:5" ht="30.75">
      <c r="A510" s="141"/>
      <c r="B510" s="142"/>
      <c r="C510" s="45" t="s">
        <v>265</v>
      </c>
      <c r="D510" s="44">
        <v>320310</v>
      </c>
      <c r="E510" s="25"/>
    </row>
    <row r="511" spans="1:5" ht="30.75">
      <c r="A511" s="141"/>
      <c r="B511" s="142"/>
      <c r="C511" s="83" t="s">
        <v>263</v>
      </c>
      <c r="D511" s="33">
        <v>178250</v>
      </c>
      <c r="E511" s="25"/>
    </row>
    <row r="512" spans="1:5" ht="30.75">
      <c r="A512" s="141"/>
      <c r="B512" s="142"/>
      <c r="C512" s="37" t="s">
        <v>282</v>
      </c>
      <c r="D512" s="44">
        <v>400000</v>
      </c>
      <c r="E512" s="25"/>
    </row>
    <row r="513" spans="1:5" ht="46.5">
      <c r="A513" s="141"/>
      <c r="B513" s="142"/>
      <c r="C513" s="37" t="s">
        <v>285</v>
      </c>
      <c r="D513" s="44">
        <f>523400-470000</f>
        <v>53400</v>
      </c>
      <c r="E513" s="25"/>
    </row>
    <row r="514" spans="1:5" ht="30.75">
      <c r="A514" s="141"/>
      <c r="B514" s="142"/>
      <c r="C514" s="67" t="s">
        <v>273</v>
      </c>
      <c r="D514" s="44">
        <v>122276.53</v>
      </c>
      <c r="E514" s="25">
        <v>122276.53</v>
      </c>
    </row>
    <row r="515" spans="1:5" ht="30.75">
      <c r="A515" s="141"/>
      <c r="B515" s="142"/>
      <c r="C515" s="64" t="s">
        <v>272</v>
      </c>
      <c r="D515" s="44">
        <v>110000</v>
      </c>
      <c r="E515" s="25"/>
    </row>
    <row r="516" spans="1:5" ht="15">
      <c r="A516" s="141"/>
      <c r="B516" s="142"/>
      <c r="C516" s="82" t="s">
        <v>298</v>
      </c>
      <c r="D516" s="44">
        <v>1500000</v>
      </c>
      <c r="E516" s="25"/>
    </row>
    <row r="517" spans="1:5" ht="15">
      <c r="A517" s="141"/>
      <c r="B517" s="142"/>
      <c r="C517" s="82" t="s">
        <v>300</v>
      </c>
      <c r="D517" s="44">
        <v>1490000</v>
      </c>
      <c r="E517" s="25"/>
    </row>
    <row r="518" spans="1:5" ht="30.75">
      <c r="A518" s="141"/>
      <c r="B518" s="142"/>
      <c r="C518" s="83" t="s">
        <v>540</v>
      </c>
      <c r="D518" s="33">
        <v>1000000</v>
      </c>
      <c r="E518" s="25"/>
    </row>
    <row r="519" spans="1:5" ht="30.75">
      <c r="A519" s="141"/>
      <c r="B519" s="142"/>
      <c r="C519" s="37" t="s">
        <v>290</v>
      </c>
      <c r="D519" s="44">
        <v>355600</v>
      </c>
      <c r="E519" s="25"/>
    </row>
    <row r="520" spans="1:5" ht="15">
      <c r="A520" s="141"/>
      <c r="B520" s="142"/>
      <c r="C520" s="37" t="s">
        <v>293</v>
      </c>
      <c r="D520" s="44">
        <v>525041.09</v>
      </c>
      <c r="E520" s="25">
        <v>525041.09</v>
      </c>
    </row>
    <row r="521" spans="1:5" ht="30.75">
      <c r="A521" s="141"/>
      <c r="B521" s="142"/>
      <c r="C521" s="62" t="s">
        <v>259</v>
      </c>
      <c r="D521" s="33">
        <f>545000-400000</f>
        <v>145000</v>
      </c>
      <c r="E521" s="25"/>
    </row>
    <row r="522" spans="1:5" ht="15">
      <c r="A522" s="141"/>
      <c r="B522" s="142"/>
      <c r="C522" s="37" t="s">
        <v>292</v>
      </c>
      <c r="D522" s="44">
        <v>37909.43</v>
      </c>
      <c r="E522" s="25">
        <v>37909.43</v>
      </c>
    </row>
    <row r="523" spans="1:5" ht="30.75">
      <c r="A523" s="141"/>
      <c r="B523" s="142"/>
      <c r="C523" s="64" t="s">
        <v>269</v>
      </c>
      <c r="D523" s="44">
        <v>130000</v>
      </c>
      <c r="E523" s="25"/>
    </row>
    <row r="524" spans="1:5" ht="15">
      <c r="A524" s="141"/>
      <c r="B524" s="142"/>
      <c r="C524" s="82" t="s">
        <v>301</v>
      </c>
      <c r="D524" s="44">
        <v>1570000</v>
      </c>
      <c r="E524" s="25"/>
    </row>
    <row r="525" spans="1:5" ht="30.75">
      <c r="A525" s="141"/>
      <c r="B525" s="142"/>
      <c r="C525" s="64" t="s">
        <v>277</v>
      </c>
      <c r="D525" s="44">
        <v>1590000</v>
      </c>
      <c r="E525" s="25"/>
    </row>
    <row r="526" spans="1:5" ht="30.75">
      <c r="A526" s="141"/>
      <c r="B526" s="142"/>
      <c r="C526" s="64" t="s">
        <v>280</v>
      </c>
      <c r="D526" s="44">
        <v>1510000</v>
      </c>
      <c r="E526" s="25"/>
    </row>
    <row r="527" spans="1:5" ht="30.75">
      <c r="A527" s="141"/>
      <c r="B527" s="142"/>
      <c r="C527" s="64" t="s">
        <v>270</v>
      </c>
      <c r="D527" s="44">
        <v>120000</v>
      </c>
      <c r="E527" s="25"/>
    </row>
    <row r="528" spans="1:5" ht="30.75">
      <c r="A528" s="141"/>
      <c r="B528" s="142"/>
      <c r="C528" s="37" t="s">
        <v>294</v>
      </c>
      <c r="D528" s="44">
        <v>1056490.32</v>
      </c>
      <c r="E528" s="25">
        <v>1056490.32</v>
      </c>
    </row>
    <row r="529" spans="1:5" ht="46.5">
      <c r="A529" s="141"/>
      <c r="B529" s="142"/>
      <c r="C529" s="82" t="s">
        <v>296</v>
      </c>
      <c r="D529" s="44">
        <v>1512000</v>
      </c>
      <c r="E529" s="25"/>
    </row>
    <row r="530" spans="1:5" ht="46.5">
      <c r="A530" s="141"/>
      <c r="B530" s="142"/>
      <c r="C530" s="82" t="s">
        <v>297</v>
      </c>
      <c r="D530" s="44">
        <v>1638000</v>
      </c>
      <c r="E530" s="25"/>
    </row>
    <row r="531" spans="1:5" ht="30.75">
      <c r="A531" s="141"/>
      <c r="B531" s="142"/>
      <c r="C531" s="60" t="s">
        <v>501</v>
      </c>
      <c r="D531" s="35">
        <f>SUM(D532:D535)</f>
        <v>3499000</v>
      </c>
      <c r="E531" s="35">
        <f>SUM(E532:E535)</f>
        <v>0</v>
      </c>
    </row>
    <row r="532" spans="1:5" ht="15">
      <c r="A532" s="141"/>
      <c r="B532" s="142"/>
      <c r="C532" s="83" t="s">
        <v>505</v>
      </c>
      <c r="D532" s="44">
        <v>1000000</v>
      </c>
      <c r="E532" s="25"/>
    </row>
    <row r="533" spans="1:5" ht="46.5">
      <c r="A533" s="141"/>
      <c r="B533" s="142"/>
      <c r="C533" s="83" t="s">
        <v>502</v>
      </c>
      <c r="D533" s="44">
        <f>1800000-1000</f>
        <v>1799000</v>
      </c>
      <c r="E533" s="25"/>
    </row>
    <row r="534" spans="1:5" ht="30.75">
      <c r="A534" s="141"/>
      <c r="B534" s="142"/>
      <c r="C534" s="83" t="s">
        <v>503</v>
      </c>
      <c r="D534" s="44">
        <v>300000</v>
      </c>
      <c r="E534" s="25"/>
    </row>
    <row r="535" spans="1:5" ht="30.75">
      <c r="A535" s="141"/>
      <c r="B535" s="142"/>
      <c r="C535" s="83" t="s">
        <v>504</v>
      </c>
      <c r="D535" s="44">
        <v>400000</v>
      </c>
      <c r="E535" s="25"/>
    </row>
    <row r="536" spans="1:5" s="34" customFormat="1" ht="15">
      <c r="A536" s="131" t="s">
        <v>663</v>
      </c>
      <c r="B536" s="128" t="s">
        <v>664</v>
      </c>
      <c r="C536" s="48"/>
      <c r="D536" s="35">
        <f>D537</f>
        <v>600000</v>
      </c>
      <c r="E536" s="35">
        <f>E537</f>
        <v>573960</v>
      </c>
    </row>
    <row r="537" spans="1:5" s="34" customFormat="1" ht="15">
      <c r="A537" s="133"/>
      <c r="B537" s="130"/>
      <c r="C537" s="48" t="s">
        <v>665</v>
      </c>
      <c r="D537" s="33">
        <v>600000</v>
      </c>
      <c r="E537" s="44">
        <f>573960</f>
        <v>573960</v>
      </c>
    </row>
    <row r="538" spans="1:5" s="34" customFormat="1" ht="40.5" customHeight="1">
      <c r="A538" s="117" t="s">
        <v>77</v>
      </c>
      <c r="B538" s="118" t="s">
        <v>18</v>
      </c>
      <c r="C538" s="45"/>
      <c r="D538" s="35">
        <f>D539</f>
        <v>1109950</v>
      </c>
      <c r="E538" s="25"/>
    </row>
    <row r="539" spans="1:5" s="34" customFormat="1" ht="60.75" customHeight="1">
      <c r="A539" s="117"/>
      <c r="B539" s="118"/>
      <c r="C539" s="48" t="s">
        <v>662</v>
      </c>
      <c r="D539" s="33">
        <f>1109950</f>
        <v>1109950</v>
      </c>
      <c r="E539" s="25"/>
    </row>
    <row r="540" spans="1:5" ht="46.5">
      <c r="A540" s="15" t="s">
        <v>78</v>
      </c>
      <c r="B540" s="16" t="s">
        <v>79</v>
      </c>
      <c r="C540" s="16"/>
      <c r="D540" s="29">
        <f>D541</f>
        <v>168670433.16000003</v>
      </c>
      <c r="E540" s="29">
        <f>E541</f>
        <v>47799124.70999999</v>
      </c>
    </row>
    <row r="541" spans="1:5" ht="46.5">
      <c r="A541" s="15" t="s">
        <v>80</v>
      </c>
      <c r="B541" s="16" t="s">
        <v>79</v>
      </c>
      <c r="C541" s="16"/>
      <c r="D541" s="29">
        <f>D544+D547+D556+D565+D610+D612+D558+D542+D614</f>
        <v>168670433.16000003</v>
      </c>
      <c r="E541" s="29">
        <f>E544+E547+E556+E565+E610+E612+E558+E542+E614</f>
        <v>47799124.70999999</v>
      </c>
    </row>
    <row r="542" spans="1:5" ht="15">
      <c r="A542" s="119" t="s">
        <v>81</v>
      </c>
      <c r="B542" s="120" t="s">
        <v>68</v>
      </c>
      <c r="C542" s="22"/>
      <c r="D542" s="17">
        <f>D543</f>
        <v>1440000</v>
      </c>
      <c r="E542" s="17">
        <f>E543</f>
        <v>0</v>
      </c>
    </row>
    <row r="543" spans="1:5" ht="46.5">
      <c r="A543" s="119"/>
      <c r="B543" s="120"/>
      <c r="C543" s="32" t="s">
        <v>522</v>
      </c>
      <c r="D543" s="14">
        <v>1440000</v>
      </c>
      <c r="E543" s="25"/>
    </row>
    <row r="544" spans="1:5" ht="15">
      <c r="A544" s="119" t="s">
        <v>82</v>
      </c>
      <c r="B544" s="120" t="s">
        <v>38</v>
      </c>
      <c r="C544" s="22"/>
      <c r="D544" s="17">
        <f>D545+D546</f>
        <v>1949532</v>
      </c>
      <c r="E544" s="17">
        <f>E545+E546</f>
        <v>691965.2</v>
      </c>
    </row>
    <row r="545" spans="1:5" ht="30.75">
      <c r="A545" s="119"/>
      <c r="B545" s="120"/>
      <c r="C545" s="50" t="s">
        <v>416</v>
      </c>
      <c r="D545" s="44">
        <v>836532</v>
      </c>
      <c r="E545" s="25">
        <f>312412.8+179552.4</f>
        <v>491965.19999999995</v>
      </c>
    </row>
    <row r="546" spans="1:5" ht="15">
      <c r="A546" s="119"/>
      <c r="B546" s="120"/>
      <c r="C546" s="24" t="s">
        <v>417</v>
      </c>
      <c r="D546" s="25">
        <v>1113000</v>
      </c>
      <c r="E546" s="25">
        <f>200000</f>
        <v>200000</v>
      </c>
    </row>
    <row r="547" spans="1:5" ht="15">
      <c r="A547" s="117" t="s">
        <v>83</v>
      </c>
      <c r="B547" s="118" t="s">
        <v>42</v>
      </c>
      <c r="C547" s="22"/>
      <c r="D547" s="17">
        <f>SUM(D548:D555)</f>
        <v>4037173.75</v>
      </c>
      <c r="E547" s="17">
        <f>SUM(E548:E555)</f>
        <v>482090.7</v>
      </c>
    </row>
    <row r="548" spans="1:5" ht="30.75">
      <c r="A548" s="117"/>
      <c r="B548" s="118"/>
      <c r="C548" s="50" t="s">
        <v>643</v>
      </c>
      <c r="D548" s="44">
        <v>500000</v>
      </c>
      <c r="E548" s="25"/>
    </row>
    <row r="549" spans="1:5" ht="30.75">
      <c r="A549" s="117"/>
      <c r="B549" s="118"/>
      <c r="C549" s="50" t="s">
        <v>500</v>
      </c>
      <c r="D549" s="44">
        <f>1325000-1317620</f>
        <v>7380</v>
      </c>
      <c r="E549" s="25"/>
    </row>
    <row r="550" spans="1:5" ht="30.75">
      <c r="A550" s="117"/>
      <c r="B550" s="118"/>
      <c r="C550" s="48" t="s">
        <v>418</v>
      </c>
      <c r="D550" s="14">
        <v>227939.12</v>
      </c>
      <c r="E550" s="25">
        <f>188991+15113+5602.14</f>
        <v>209706.14</v>
      </c>
    </row>
    <row r="551" spans="1:5" ht="30.75">
      <c r="A551" s="117"/>
      <c r="B551" s="118"/>
      <c r="C551" s="50" t="s">
        <v>458</v>
      </c>
      <c r="D551" s="44">
        <f>1617191-217191</f>
        <v>1400000</v>
      </c>
      <c r="E551" s="25"/>
    </row>
    <row r="552" spans="1:5" ht="30.75">
      <c r="A552" s="117"/>
      <c r="B552" s="118"/>
      <c r="C552" s="50" t="s">
        <v>420</v>
      </c>
      <c r="D552" s="44">
        <v>201461</v>
      </c>
      <c r="E552" s="25">
        <f>25473</f>
        <v>25473</v>
      </c>
    </row>
    <row r="553" spans="1:5" ht="30.75">
      <c r="A553" s="117"/>
      <c r="B553" s="118"/>
      <c r="C553" s="50" t="s">
        <v>521</v>
      </c>
      <c r="D553" s="44">
        <v>217191</v>
      </c>
      <c r="E553" s="25"/>
    </row>
    <row r="554" spans="1:5" ht="30.75">
      <c r="A554" s="117"/>
      <c r="B554" s="118"/>
      <c r="C554" s="48" t="s">
        <v>419</v>
      </c>
      <c r="D554" s="14">
        <v>1033202.63</v>
      </c>
      <c r="E554" s="25">
        <f>246911.56</f>
        <v>246911.56</v>
      </c>
    </row>
    <row r="555" spans="1:5" ht="30.75">
      <c r="A555" s="117"/>
      <c r="B555" s="118"/>
      <c r="C555" s="50" t="s">
        <v>520</v>
      </c>
      <c r="D555" s="44">
        <v>450000</v>
      </c>
      <c r="E555" s="25"/>
    </row>
    <row r="556" spans="1:5" ht="15" customHeight="1">
      <c r="A556" s="117" t="s">
        <v>84</v>
      </c>
      <c r="B556" s="118" t="s">
        <v>85</v>
      </c>
      <c r="C556" s="22"/>
      <c r="D556" s="17">
        <f>D557</f>
        <v>80000</v>
      </c>
      <c r="E556" s="17">
        <f>E557</f>
        <v>0</v>
      </c>
    </row>
    <row r="557" spans="1:5" ht="15">
      <c r="A557" s="117"/>
      <c r="B557" s="118"/>
      <c r="C557" s="50" t="s">
        <v>619</v>
      </c>
      <c r="D557" s="44">
        <v>80000</v>
      </c>
      <c r="E557" s="25"/>
    </row>
    <row r="558" spans="1:5" ht="15">
      <c r="A558" s="134" t="s">
        <v>86</v>
      </c>
      <c r="B558" s="135" t="s">
        <v>87</v>
      </c>
      <c r="C558" s="32"/>
      <c r="D558" s="17">
        <f>SUM(D559:D564)</f>
        <v>6211995.4</v>
      </c>
      <c r="E558" s="17">
        <f>SUM(E559:E564)</f>
        <v>1017238</v>
      </c>
    </row>
    <row r="559" spans="1:5" ht="62.25">
      <c r="A559" s="134"/>
      <c r="B559" s="135"/>
      <c r="C559" s="32" t="s">
        <v>541</v>
      </c>
      <c r="D559" s="14">
        <v>96000</v>
      </c>
      <c r="E559" s="25">
        <f>96000</f>
        <v>96000</v>
      </c>
    </row>
    <row r="560" spans="1:5" ht="46.5">
      <c r="A560" s="134"/>
      <c r="B560" s="135"/>
      <c r="C560" s="50" t="s">
        <v>421</v>
      </c>
      <c r="D560" s="14">
        <v>809000</v>
      </c>
      <c r="E560" s="25"/>
    </row>
    <row r="561" spans="1:5" ht="30.75">
      <c r="A561" s="134"/>
      <c r="B561" s="135"/>
      <c r="C561" s="50" t="s">
        <v>422</v>
      </c>
      <c r="D561" s="14">
        <v>1600000</v>
      </c>
      <c r="E561" s="25"/>
    </row>
    <row r="562" spans="1:5" ht="46.5">
      <c r="A562" s="134"/>
      <c r="B562" s="135"/>
      <c r="C562" s="50" t="s">
        <v>423</v>
      </c>
      <c r="D562" s="14">
        <v>659800</v>
      </c>
      <c r="E562" s="25"/>
    </row>
    <row r="563" spans="1:5" ht="46.5">
      <c r="A563" s="134"/>
      <c r="B563" s="135"/>
      <c r="C563" s="69" t="s">
        <v>425</v>
      </c>
      <c r="D563" s="14">
        <v>2000000</v>
      </c>
      <c r="E563" s="25"/>
    </row>
    <row r="564" spans="1:5" ht="30.75">
      <c r="A564" s="134"/>
      <c r="B564" s="135"/>
      <c r="C564" s="68" t="s">
        <v>424</v>
      </c>
      <c r="D564" s="14">
        <v>1047195.4</v>
      </c>
      <c r="E564" s="25">
        <f>921238</f>
        <v>921238</v>
      </c>
    </row>
    <row r="565" spans="1:5" ht="15">
      <c r="A565" s="134" t="s">
        <v>88</v>
      </c>
      <c r="B565" s="135" t="s">
        <v>70</v>
      </c>
      <c r="C565" s="22"/>
      <c r="D565" s="17">
        <f>SUM(D566:D609)</f>
        <v>146551732.01000002</v>
      </c>
      <c r="E565" s="17">
        <f>SUM(E566:E609)</f>
        <v>45607830.809999995</v>
      </c>
    </row>
    <row r="566" spans="1:5" ht="30.75">
      <c r="A566" s="134"/>
      <c r="B566" s="135"/>
      <c r="C566" s="70" t="s">
        <v>446</v>
      </c>
      <c r="D566" s="44">
        <v>1400000</v>
      </c>
      <c r="E566" s="25">
        <f>207831.83</f>
        <v>207831.83</v>
      </c>
    </row>
    <row r="567" spans="1:5" ht="30.75">
      <c r="A567" s="134"/>
      <c r="B567" s="135"/>
      <c r="C567" s="70" t="s">
        <v>496</v>
      </c>
      <c r="D567" s="43">
        <v>1450000</v>
      </c>
      <c r="E567" s="25">
        <f>46900</f>
        <v>46900</v>
      </c>
    </row>
    <row r="568" spans="1:5" ht="30.75">
      <c r="A568" s="134"/>
      <c r="B568" s="135"/>
      <c r="C568" s="70" t="s">
        <v>445</v>
      </c>
      <c r="D568" s="25">
        <v>843928</v>
      </c>
      <c r="E568" s="25">
        <f>9178.47</f>
        <v>9178.47</v>
      </c>
    </row>
    <row r="569" spans="1:5" ht="46.5">
      <c r="A569" s="134"/>
      <c r="B569" s="135"/>
      <c r="C569" s="71" t="s">
        <v>647</v>
      </c>
      <c r="D569" s="25">
        <v>1300000</v>
      </c>
      <c r="E569" s="25"/>
    </row>
    <row r="570" spans="1:5" ht="30.75">
      <c r="A570" s="134"/>
      <c r="B570" s="135"/>
      <c r="C570" s="72" t="s">
        <v>459</v>
      </c>
      <c r="D570" s="44">
        <f>1450000-90000</f>
        <v>1360000</v>
      </c>
      <c r="E570" s="25">
        <f>46900</f>
        <v>46900</v>
      </c>
    </row>
    <row r="571" spans="1:5" ht="30.75">
      <c r="A571" s="134"/>
      <c r="B571" s="135"/>
      <c r="C571" s="73" t="s">
        <v>517</v>
      </c>
      <c r="D571" s="44">
        <v>1450000</v>
      </c>
      <c r="E571" s="25"/>
    </row>
    <row r="572" spans="1:5" ht="30.75">
      <c r="A572" s="134"/>
      <c r="B572" s="135"/>
      <c r="C572" s="72" t="s">
        <v>497</v>
      </c>
      <c r="D572" s="44">
        <v>200000</v>
      </c>
      <c r="E572" s="25">
        <f>9355</f>
        <v>9355</v>
      </c>
    </row>
    <row r="573" spans="1:5" ht="30.75">
      <c r="A573" s="134"/>
      <c r="B573" s="135"/>
      <c r="C573" s="71" t="s">
        <v>498</v>
      </c>
      <c r="D573" s="44">
        <v>1400000</v>
      </c>
      <c r="E573" s="25"/>
    </row>
    <row r="574" spans="1:5" ht="30.75">
      <c r="A574" s="134"/>
      <c r="B574" s="135"/>
      <c r="C574" s="70" t="s">
        <v>444</v>
      </c>
      <c r="D574" s="44">
        <v>838910</v>
      </c>
      <c r="E574" s="25">
        <f>299000+11747.5</f>
        <v>310747.5</v>
      </c>
    </row>
    <row r="575" spans="1:5" ht="30.75">
      <c r="A575" s="134"/>
      <c r="B575" s="135"/>
      <c r="C575" s="74" t="s">
        <v>449</v>
      </c>
      <c r="D575" s="44">
        <v>18531</v>
      </c>
      <c r="E575" s="25"/>
    </row>
    <row r="576" spans="1:5" ht="30.75">
      <c r="A576" s="134"/>
      <c r="B576" s="135"/>
      <c r="C576" s="70" t="s">
        <v>447</v>
      </c>
      <c r="D576" s="44">
        <v>225374.49</v>
      </c>
      <c r="E576" s="25"/>
    </row>
    <row r="577" spans="1:5" ht="30.75">
      <c r="A577" s="134"/>
      <c r="B577" s="135"/>
      <c r="C577" s="70" t="s">
        <v>448</v>
      </c>
      <c r="D577" s="44">
        <f>1493486.05+4000000</f>
        <v>5493486.05</v>
      </c>
      <c r="E577" s="25">
        <f>358785.83+44621.69+658538.27+7400.77+240000-10008.48</f>
        <v>1299338.08</v>
      </c>
    </row>
    <row r="578" spans="1:5" ht="30.75">
      <c r="A578" s="134"/>
      <c r="B578" s="135"/>
      <c r="C578" s="75" t="s">
        <v>450</v>
      </c>
      <c r="D578" s="25">
        <v>8900000</v>
      </c>
      <c r="E578" s="25">
        <f>1136331.6+29810.35</f>
        <v>1166141.9500000002</v>
      </c>
    </row>
    <row r="579" spans="1:5" ht="30.75">
      <c r="A579" s="134"/>
      <c r="B579" s="135"/>
      <c r="C579" s="73" t="s">
        <v>518</v>
      </c>
      <c r="D579" s="44">
        <v>1832328.6</v>
      </c>
      <c r="E579" s="25">
        <f>13476.43</f>
        <v>13476.43</v>
      </c>
    </row>
    <row r="580" spans="1:5" ht="30.75">
      <c r="A580" s="134"/>
      <c r="B580" s="135"/>
      <c r="C580" s="75" t="s">
        <v>451</v>
      </c>
      <c r="D580" s="44">
        <f>30000000-4226093.36+5000000</f>
        <v>30773906.64</v>
      </c>
      <c r="E580" s="25">
        <f>4995872.38+14120877.63+42574.94+5415057.81</f>
        <v>24574382.76</v>
      </c>
    </row>
    <row r="581" spans="1:5" ht="30.75">
      <c r="A581" s="134"/>
      <c r="B581" s="135"/>
      <c r="C581" s="73" t="s">
        <v>516</v>
      </c>
      <c r="D581" s="44">
        <v>900000</v>
      </c>
      <c r="E581" s="25"/>
    </row>
    <row r="582" spans="1:5" ht="30.75">
      <c r="A582" s="134"/>
      <c r="B582" s="135"/>
      <c r="C582" s="75" t="s">
        <v>645</v>
      </c>
      <c r="D582" s="54">
        <v>4415679.03</v>
      </c>
      <c r="E582" s="25"/>
    </row>
    <row r="583" spans="1:5" ht="30.75">
      <c r="A583" s="134"/>
      <c r="B583" s="135"/>
      <c r="C583" s="75" t="s">
        <v>442</v>
      </c>
      <c r="D583" s="25">
        <v>50000</v>
      </c>
      <c r="E583" s="25">
        <f>25908</f>
        <v>25908</v>
      </c>
    </row>
    <row r="584" spans="1:5" ht="30.75">
      <c r="A584" s="134"/>
      <c r="B584" s="135"/>
      <c r="C584" s="76" t="s">
        <v>443</v>
      </c>
      <c r="D584" s="25">
        <v>28662</v>
      </c>
      <c r="E584" s="25"/>
    </row>
    <row r="585" spans="1:5" ht="30.75">
      <c r="A585" s="134"/>
      <c r="B585" s="135"/>
      <c r="C585" s="77" t="s">
        <v>440</v>
      </c>
      <c r="D585" s="25">
        <v>587032</v>
      </c>
      <c r="E585" s="25">
        <f>33642</f>
        <v>33642</v>
      </c>
    </row>
    <row r="586" spans="1:5" ht="30.75">
      <c r="A586" s="134"/>
      <c r="B586" s="135"/>
      <c r="C586" s="77" t="s">
        <v>441</v>
      </c>
      <c r="D586" s="25">
        <v>100000</v>
      </c>
      <c r="E586" s="25"/>
    </row>
    <row r="587" spans="1:5" ht="30.75">
      <c r="A587" s="134"/>
      <c r="B587" s="135"/>
      <c r="C587" s="77" t="s">
        <v>620</v>
      </c>
      <c r="D587" s="25">
        <v>500000</v>
      </c>
      <c r="E587" s="25"/>
    </row>
    <row r="588" spans="1:5" ht="30.75">
      <c r="A588" s="134"/>
      <c r="B588" s="135"/>
      <c r="C588" s="75" t="s">
        <v>462</v>
      </c>
      <c r="D588" s="25">
        <v>1241860</v>
      </c>
      <c r="E588" s="25"/>
    </row>
    <row r="589" spans="1:5" ht="30.75">
      <c r="A589" s="134"/>
      <c r="B589" s="135"/>
      <c r="C589" s="68" t="s">
        <v>463</v>
      </c>
      <c r="D589" s="25">
        <f>1439770-50000</f>
        <v>1389770</v>
      </c>
      <c r="E589" s="25"/>
    </row>
    <row r="590" spans="1:5" ht="30.75">
      <c r="A590" s="134"/>
      <c r="B590" s="135"/>
      <c r="C590" s="75" t="s">
        <v>433</v>
      </c>
      <c r="D590" s="25">
        <v>6015289.85</v>
      </c>
      <c r="E590" s="25">
        <f>5520</f>
        <v>5520</v>
      </c>
    </row>
    <row r="591" spans="1:5" ht="30.75">
      <c r="A591" s="134"/>
      <c r="B591" s="135"/>
      <c r="C591" s="71" t="s">
        <v>426</v>
      </c>
      <c r="D591" s="25">
        <v>869890</v>
      </c>
      <c r="E591" s="25"/>
    </row>
    <row r="592" spans="1:5" ht="30.75">
      <c r="A592" s="134"/>
      <c r="B592" s="135"/>
      <c r="C592" s="75" t="s">
        <v>434</v>
      </c>
      <c r="D592" s="25">
        <f>20000000-1000000</f>
        <v>19000000</v>
      </c>
      <c r="E592" s="25">
        <f>1601127.14+6022765.45</f>
        <v>7623892.59</v>
      </c>
    </row>
    <row r="593" spans="1:5" ht="30.75">
      <c r="A593" s="134"/>
      <c r="B593" s="135"/>
      <c r="C593" s="73" t="s">
        <v>427</v>
      </c>
      <c r="D593" s="44">
        <v>1306865</v>
      </c>
      <c r="E593" s="25">
        <f>415300+359500</f>
        <v>774800</v>
      </c>
    </row>
    <row r="594" spans="1:5" ht="52.5" customHeight="1">
      <c r="A594" s="134"/>
      <c r="B594" s="135"/>
      <c r="C594" s="45" t="s">
        <v>646</v>
      </c>
      <c r="D594" s="25">
        <v>450000</v>
      </c>
      <c r="E594" s="25"/>
    </row>
    <row r="595" spans="1:5" ht="30.75">
      <c r="A595" s="134"/>
      <c r="B595" s="135"/>
      <c r="C595" s="45" t="s">
        <v>428</v>
      </c>
      <c r="D595" s="25">
        <v>1047000</v>
      </c>
      <c r="E595" s="25">
        <f>71900</f>
        <v>71900</v>
      </c>
    </row>
    <row r="596" spans="1:5" ht="30.75">
      <c r="A596" s="134"/>
      <c r="B596" s="135"/>
      <c r="C596" s="68" t="s">
        <v>519</v>
      </c>
      <c r="D596" s="44">
        <f>6625000-5000000+7000000-1000000</f>
        <v>7625000</v>
      </c>
      <c r="E596" s="25">
        <f>514873.6</f>
        <v>514873.6</v>
      </c>
    </row>
    <row r="597" spans="1:5" ht="30.75">
      <c r="A597" s="134"/>
      <c r="B597" s="135"/>
      <c r="C597" s="69" t="s">
        <v>435</v>
      </c>
      <c r="D597" s="25">
        <v>653455</v>
      </c>
      <c r="E597" s="25">
        <f>400450</f>
        <v>400450</v>
      </c>
    </row>
    <row r="598" spans="1:5" ht="15">
      <c r="A598" s="134"/>
      <c r="B598" s="135"/>
      <c r="C598" s="68" t="s">
        <v>436</v>
      </c>
      <c r="D598" s="25">
        <v>120000</v>
      </c>
      <c r="E598" s="25"/>
    </row>
    <row r="599" spans="1:5" ht="30.75">
      <c r="A599" s="134"/>
      <c r="B599" s="135"/>
      <c r="C599" s="50" t="s">
        <v>543</v>
      </c>
      <c r="D599" s="44">
        <v>1098615</v>
      </c>
      <c r="E599" s="25">
        <f>612700</f>
        <v>612700</v>
      </c>
    </row>
    <row r="600" spans="1:5" ht="30.75">
      <c r="A600" s="134"/>
      <c r="B600" s="135"/>
      <c r="C600" s="24" t="s">
        <v>429</v>
      </c>
      <c r="D600" s="25">
        <f>20000000-1000000</f>
        <v>19000000</v>
      </c>
      <c r="E600" s="25">
        <f>1654590+1400118+1512394.6+1210103.19</f>
        <v>5777205.789999999</v>
      </c>
    </row>
    <row r="601" spans="1:5" ht="30.75">
      <c r="A601" s="134"/>
      <c r="B601" s="135"/>
      <c r="C601" s="71" t="s">
        <v>644</v>
      </c>
      <c r="D601" s="25">
        <v>1202852</v>
      </c>
      <c r="E601" s="25">
        <f>410945</f>
        <v>410945</v>
      </c>
    </row>
    <row r="602" spans="1:5" ht="46.5">
      <c r="A602" s="134"/>
      <c r="B602" s="135"/>
      <c r="C602" s="75" t="s">
        <v>437</v>
      </c>
      <c r="D602" s="25">
        <v>188517.54</v>
      </c>
      <c r="E602" s="25">
        <f>188517.54-38515</f>
        <v>150002.54</v>
      </c>
    </row>
    <row r="603" spans="1:5" ht="46.5">
      <c r="A603" s="134"/>
      <c r="B603" s="135"/>
      <c r="C603" s="75" t="s">
        <v>438</v>
      </c>
      <c r="D603" s="25">
        <v>1334316.4</v>
      </c>
      <c r="E603" s="25">
        <v>1334316.4</v>
      </c>
    </row>
    <row r="604" spans="1:5" ht="48" customHeight="1">
      <c r="A604" s="134"/>
      <c r="B604" s="135"/>
      <c r="C604" s="75" t="s">
        <v>439</v>
      </c>
      <c r="D604" s="25">
        <v>119695.6</v>
      </c>
      <c r="E604" s="25"/>
    </row>
    <row r="605" spans="1:5" ht="46.5">
      <c r="A605" s="134"/>
      <c r="B605" s="135"/>
      <c r="C605" s="77" t="s">
        <v>430</v>
      </c>
      <c r="D605" s="25">
        <v>4018084.68</v>
      </c>
      <c r="E605" s="25">
        <f>23838.87</f>
        <v>23838.87</v>
      </c>
    </row>
    <row r="606" spans="1:5" ht="46.5">
      <c r="A606" s="134"/>
      <c r="B606" s="135"/>
      <c r="C606" s="75" t="s">
        <v>431</v>
      </c>
      <c r="D606" s="25">
        <v>6572376.13</v>
      </c>
      <c r="E606" s="25"/>
    </row>
    <row r="607" spans="1:5" ht="46.5">
      <c r="A607" s="134"/>
      <c r="B607" s="135"/>
      <c r="C607" s="75" t="s">
        <v>432</v>
      </c>
      <c r="D607" s="25">
        <v>6777200</v>
      </c>
      <c r="E607" s="25"/>
    </row>
    <row r="608" spans="1:5" ht="15">
      <c r="A608" s="134"/>
      <c r="B608" s="135"/>
      <c r="C608" s="100" t="s">
        <v>453</v>
      </c>
      <c r="D608" s="54">
        <f>3000000-1000000</f>
        <v>2000000</v>
      </c>
      <c r="E608" s="25"/>
    </row>
    <row r="609" spans="1:5" ht="30.75">
      <c r="A609" s="134"/>
      <c r="B609" s="135"/>
      <c r="C609" s="48" t="s">
        <v>452</v>
      </c>
      <c r="D609" s="25">
        <v>453107</v>
      </c>
      <c r="E609" s="25">
        <f>163584</f>
        <v>163584</v>
      </c>
    </row>
    <row r="610" spans="1:5" ht="15">
      <c r="A610" s="134" t="s">
        <v>89</v>
      </c>
      <c r="B610" s="143" t="s">
        <v>90</v>
      </c>
      <c r="C610" s="22"/>
      <c r="D610" s="17">
        <f>D611</f>
        <v>50000</v>
      </c>
      <c r="E610" s="17">
        <f>E611</f>
        <v>0</v>
      </c>
    </row>
    <row r="611" spans="1:5" ht="46.5">
      <c r="A611" s="134"/>
      <c r="B611" s="143"/>
      <c r="C611" s="50" t="s">
        <v>499</v>
      </c>
      <c r="D611" s="44">
        <v>50000</v>
      </c>
      <c r="E611" s="25"/>
    </row>
    <row r="612" spans="1:5" ht="15">
      <c r="A612" s="134" t="s">
        <v>91</v>
      </c>
      <c r="B612" s="135" t="s">
        <v>92</v>
      </c>
      <c r="C612" s="22"/>
      <c r="D612" s="17">
        <f>D613</f>
        <v>350000</v>
      </c>
      <c r="E612" s="17">
        <f>E613</f>
        <v>0</v>
      </c>
    </row>
    <row r="613" spans="1:5" ht="30.75">
      <c r="A613" s="134"/>
      <c r="B613" s="135"/>
      <c r="C613" s="24" t="s">
        <v>494</v>
      </c>
      <c r="D613" s="25">
        <v>350000</v>
      </c>
      <c r="E613" s="25"/>
    </row>
    <row r="614" spans="1:5" ht="30.75">
      <c r="A614" s="92" t="s">
        <v>621</v>
      </c>
      <c r="B614" s="93" t="s">
        <v>611</v>
      </c>
      <c r="C614" s="24"/>
      <c r="D614" s="8">
        <f>D615</f>
        <v>8000000</v>
      </c>
      <c r="E614" s="8">
        <f>E615</f>
        <v>0</v>
      </c>
    </row>
    <row r="615" spans="1:5" ht="93">
      <c r="A615" s="92"/>
      <c r="B615" s="93"/>
      <c r="C615" s="24" t="s">
        <v>622</v>
      </c>
      <c r="D615" s="25">
        <v>8000000</v>
      </c>
      <c r="E615" s="14"/>
    </row>
    <row r="616" spans="1:5" s="1" customFormat="1" ht="30.75">
      <c r="A616" s="15" t="s">
        <v>93</v>
      </c>
      <c r="B616" s="16" t="s">
        <v>94</v>
      </c>
      <c r="C616" s="21"/>
      <c r="D616" s="59">
        <f>D617</f>
        <v>6926052.49</v>
      </c>
      <c r="E616" s="59">
        <f>E617</f>
        <v>538713.3300000001</v>
      </c>
    </row>
    <row r="617" spans="1:5" s="1" customFormat="1" ht="30.75">
      <c r="A617" s="15" t="s">
        <v>95</v>
      </c>
      <c r="B617" s="16" t="s">
        <v>94</v>
      </c>
      <c r="C617" s="21"/>
      <c r="D617" s="59">
        <f>D618+D625</f>
        <v>6926052.49</v>
      </c>
      <c r="E617" s="59">
        <f>E618+E625</f>
        <v>538713.3300000001</v>
      </c>
    </row>
    <row r="618" spans="1:5" s="1" customFormat="1" ht="15">
      <c r="A618" s="120">
        <v>2717330</v>
      </c>
      <c r="B618" s="120" t="s">
        <v>125</v>
      </c>
      <c r="C618" s="45"/>
      <c r="D618" s="55">
        <f>SUM(D619:D624)</f>
        <v>4759660.07</v>
      </c>
      <c r="E618" s="55">
        <f>SUM(E619:E624)</f>
        <v>538713.3300000001</v>
      </c>
    </row>
    <row r="619" spans="1:5" s="1" customFormat="1" ht="30.75">
      <c r="A619" s="120"/>
      <c r="B619" s="120"/>
      <c r="C619" s="50" t="s">
        <v>542</v>
      </c>
      <c r="D619" s="44">
        <v>793769.07</v>
      </c>
      <c r="E619" s="25">
        <f>255200.73+200784.6</f>
        <v>455985.33</v>
      </c>
    </row>
    <row r="620" spans="1:5" s="1" customFormat="1" ht="30.75">
      <c r="A620" s="120"/>
      <c r="B620" s="120"/>
      <c r="C620" s="37" t="s">
        <v>114</v>
      </c>
      <c r="D620" s="44">
        <v>1200000</v>
      </c>
      <c r="E620" s="25"/>
    </row>
    <row r="621" spans="1:5" s="1" customFormat="1" ht="30.75">
      <c r="A621" s="120"/>
      <c r="B621" s="120"/>
      <c r="C621" s="37" t="s">
        <v>115</v>
      </c>
      <c r="D621" s="44">
        <v>1400000</v>
      </c>
      <c r="E621" s="25"/>
    </row>
    <row r="622" spans="1:5" s="1" customFormat="1" ht="30.75">
      <c r="A622" s="120"/>
      <c r="B622" s="120"/>
      <c r="C622" s="50" t="s">
        <v>677</v>
      </c>
      <c r="D622" s="25">
        <v>53163</v>
      </c>
      <c r="E622" s="25"/>
    </row>
    <row r="623" spans="1:5" s="1" customFormat="1" ht="30.75">
      <c r="A623" s="120"/>
      <c r="B623" s="120"/>
      <c r="C623" s="50" t="s">
        <v>678</v>
      </c>
      <c r="D623" s="25">
        <f>1000000-970000</f>
        <v>30000</v>
      </c>
      <c r="E623" s="25"/>
    </row>
    <row r="624" spans="1:5" s="1" customFormat="1" ht="34.5" customHeight="1">
      <c r="A624" s="120"/>
      <c r="B624" s="120"/>
      <c r="C624" s="38" t="s">
        <v>116</v>
      </c>
      <c r="D624" s="44">
        <v>1282728</v>
      </c>
      <c r="E624" s="25">
        <f>82728</f>
        <v>82728</v>
      </c>
    </row>
    <row r="625" spans="1:5" s="1" customFormat="1" ht="15">
      <c r="A625" s="117" t="s">
        <v>96</v>
      </c>
      <c r="B625" s="118" t="s">
        <v>46</v>
      </c>
      <c r="C625" s="48"/>
      <c r="D625" s="35">
        <f>D626</f>
        <v>2166392.42</v>
      </c>
      <c r="E625" s="35">
        <f>E626</f>
        <v>0</v>
      </c>
    </row>
    <row r="626" spans="1:5" s="1" customFormat="1" ht="15">
      <c r="A626" s="117"/>
      <c r="B626" s="118"/>
      <c r="C626" s="61" t="s">
        <v>97</v>
      </c>
      <c r="D626" s="35">
        <f>SUM(D627:D632)</f>
        <v>2166392.42</v>
      </c>
      <c r="E626" s="35">
        <f>SUM(E627:E632)</f>
        <v>0</v>
      </c>
    </row>
    <row r="627" spans="1:5" s="1" customFormat="1" ht="46.5">
      <c r="A627" s="117"/>
      <c r="B627" s="118"/>
      <c r="C627" s="50" t="s">
        <v>117</v>
      </c>
      <c r="D627" s="44">
        <v>4100</v>
      </c>
      <c r="E627" s="25"/>
    </row>
    <row r="628" spans="1:5" s="1" customFormat="1" ht="46.5">
      <c r="A628" s="117"/>
      <c r="B628" s="118"/>
      <c r="C628" s="50" t="s">
        <v>118</v>
      </c>
      <c r="D628" s="44">
        <v>1616881.92</v>
      </c>
      <c r="E628" s="25"/>
    </row>
    <row r="629" spans="1:5" s="1" customFormat="1" ht="46.5">
      <c r="A629" s="117"/>
      <c r="B629" s="118"/>
      <c r="C629" s="50" t="s">
        <v>119</v>
      </c>
      <c r="D629" s="44">
        <v>384060</v>
      </c>
      <c r="E629" s="25"/>
    </row>
    <row r="630" spans="1:5" s="1" customFormat="1" ht="30.75">
      <c r="A630" s="117"/>
      <c r="B630" s="118"/>
      <c r="C630" s="50" t="s">
        <v>460</v>
      </c>
      <c r="D630" s="44">
        <v>1350.5</v>
      </c>
      <c r="E630" s="25"/>
    </row>
    <row r="631" spans="1:5" s="1" customFormat="1" ht="15">
      <c r="A631" s="117"/>
      <c r="B631" s="118"/>
      <c r="C631" s="50" t="s">
        <v>492</v>
      </c>
      <c r="D631" s="33">
        <f>1480000-1380000</f>
        <v>100000</v>
      </c>
      <c r="E631" s="25"/>
    </row>
    <row r="632" spans="1:5" s="1" customFormat="1" ht="30.75">
      <c r="A632" s="117"/>
      <c r="B632" s="118"/>
      <c r="C632" s="50" t="s">
        <v>120</v>
      </c>
      <c r="D632" s="44">
        <v>60000</v>
      </c>
      <c r="E632" s="25"/>
    </row>
    <row r="633" spans="1:5" s="1" customFormat="1" ht="46.5">
      <c r="A633" s="40" t="s">
        <v>98</v>
      </c>
      <c r="B633" s="41" t="s">
        <v>99</v>
      </c>
      <c r="C633" s="42"/>
      <c r="D633" s="51">
        <f aca="true" t="shared" si="0" ref="D633:E635">D634</f>
        <v>654818</v>
      </c>
      <c r="E633" s="51">
        <f t="shared" si="0"/>
        <v>0</v>
      </c>
    </row>
    <row r="634" spans="1:5" ht="46.5">
      <c r="A634" s="40" t="s">
        <v>100</v>
      </c>
      <c r="B634" s="41" t="s">
        <v>99</v>
      </c>
      <c r="C634" s="42"/>
      <c r="D634" s="51">
        <f t="shared" si="0"/>
        <v>654818</v>
      </c>
      <c r="E634" s="51">
        <f t="shared" si="0"/>
        <v>0</v>
      </c>
    </row>
    <row r="635" spans="1:5" s="34" customFormat="1" ht="15">
      <c r="A635" s="117" t="s">
        <v>101</v>
      </c>
      <c r="B635" s="118" t="s">
        <v>20</v>
      </c>
      <c r="C635" s="48"/>
      <c r="D635" s="35">
        <f t="shared" si="0"/>
        <v>654818</v>
      </c>
      <c r="E635" s="35">
        <f t="shared" si="0"/>
        <v>0</v>
      </c>
    </row>
    <row r="636" spans="1:5" s="34" customFormat="1" ht="46.5">
      <c r="A636" s="117"/>
      <c r="B636" s="118"/>
      <c r="C636" s="48" t="s">
        <v>123</v>
      </c>
      <c r="D636" s="33">
        <f>852434-197616</f>
        <v>654818</v>
      </c>
      <c r="E636" s="25"/>
    </row>
    <row r="637" spans="1:5" s="34" customFormat="1" ht="15">
      <c r="A637" s="30" t="s">
        <v>15</v>
      </c>
      <c r="B637" s="30" t="s">
        <v>16</v>
      </c>
      <c r="C637" s="31"/>
      <c r="D637" s="36">
        <f>D638</f>
        <v>1050000</v>
      </c>
      <c r="E637" s="36">
        <f>E638</f>
        <v>1000000</v>
      </c>
    </row>
    <row r="638" spans="1:5" s="34" customFormat="1" ht="15">
      <c r="A638" s="30" t="s">
        <v>17</v>
      </c>
      <c r="B638" s="30" t="s">
        <v>16</v>
      </c>
      <c r="C638" s="31"/>
      <c r="D638" s="36">
        <f>D639+D642</f>
        <v>1050000</v>
      </c>
      <c r="E638" s="36">
        <f>E639+E642</f>
        <v>1000000</v>
      </c>
    </row>
    <row r="639" spans="1:5" s="34" customFormat="1" ht="15">
      <c r="A639" s="117" t="s">
        <v>19</v>
      </c>
      <c r="B639" s="118" t="s">
        <v>20</v>
      </c>
      <c r="C639" s="32"/>
      <c r="D639" s="35">
        <f>SUM(D640:D641)</f>
        <v>50000</v>
      </c>
      <c r="E639" s="35">
        <f>SUM(E640:E641)</f>
        <v>0</v>
      </c>
    </row>
    <row r="640" spans="1:5" s="34" customFormat="1" ht="30.75" customHeight="1">
      <c r="A640" s="117"/>
      <c r="B640" s="118"/>
      <c r="C640" s="32" t="s">
        <v>122</v>
      </c>
      <c r="D640" s="33"/>
      <c r="E640" s="25"/>
    </row>
    <row r="641" spans="1:5" s="34" customFormat="1" ht="15">
      <c r="A641" s="117"/>
      <c r="B641" s="118"/>
      <c r="C641" s="45" t="s">
        <v>121</v>
      </c>
      <c r="D641" s="44">
        <v>50000</v>
      </c>
      <c r="E641" s="25"/>
    </row>
    <row r="642" spans="1:5" s="34" customFormat="1" ht="15">
      <c r="A642" s="121" t="s">
        <v>623</v>
      </c>
      <c r="B642" s="123" t="s">
        <v>624</v>
      </c>
      <c r="C642" s="45"/>
      <c r="D642" s="55">
        <f>D643</f>
        <v>1000000</v>
      </c>
      <c r="E642" s="55">
        <f>E643</f>
        <v>1000000</v>
      </c>
    </row>
    <row r="643" spans="1:5" s="34" customFormat="1" ht="62.25">
      <c r="A643" s="122"/>
      <c r="B643" s="124"/>
      <c r="C643" s="45" t="s">
        <v>625</v>
      </c>
      <c r="D643" s="44">
        <v>1000000</v>
      </c>
      <c r="E643" s="25">
        <v>1000000</v>
      </c>
    </row>
    <row r="644" spans="1:5" ht="17.25">
      <c r="A644" s="147" t="s">
        <v>12</v>
      </c>
      <c r="B644" s="147"/>
      <c r="C644" s="147"/>
      <c r="D644" s="18">
        <f>D637+D633+D616+D540+D305+D292+D249+D23+D18</f>
        <v>547236952.33</v>
      </c>
      <c r="E644" s="18">
        <f>E637+E633+E616+E540+E305+E292+E249+E23+E18</f>
        <v>100951457.71999997</v>
      </c>
    </row>
  </sheetData>
  <sheetProtection/>
  <mergeCells count="107">
    <mergeCell ref="A10:C10"/>
    <mergeCell ref="A12:C12"/>
    <mergeCell ref="A13:C13"/>
    <mergeCell ref="A618:A624"/>
    <mergeCell ref="B618:B624"/>
    <mergeCell ref="B642:B643"/>
    <mergeCell ref="A642:A643"/>
    <mergeCell ref="A247:A248"/>
    <mergeCell ref="B247:B248"/>
    <mergeCell ref="B296:B297"/>
    <mergeCell ref="A644:C644"/>
    <mergeCell ref="A612:A613"/>
    <mergeCell ref="A625:A632"/>
    <mergeCell ref="B625:B632"/>
    <mergeCell ref="A3:C3"/>
    <mergeCell ref="A4:C4"/>
    <mergeCell ref="A5:C5"/>
    <mergeCell ref="A6:C6"/>
    <mergeCell ref="A7:C7"/>
    <mergeCell ref="A635:A636"/>
    <mergeCell ref="A639:A641"/>
    <mergeCell ref="A1:D1"/>
    <mergeCell ref="B639:B641"/>
    <mergeCell ref="A8:C8"/>
    <mergeCell ref="B635:B636"/>
    <mergeCell ref="A9:C9"/>
    <mergeCell ref="B612:B613"/>
    <mergeCell ref="A558:A564"/>
    <mergeCell ref="B558:B564"/>
    <mergeCell ref="A565:A609"/>
    <mergeCell ref="B565:B609"/>
    <mergeCell ref="A610:A611"/>
    <mergeCell ref="B610:B611"/>
    <mergeCell ref="A547:A555"/>
    <mergeCell ref="B547:B555"/>
    <mergeCell ref="A556:A557"/>
    <mergeCell ref="B556:B557"/>
    <mergeCell ref="A542:A543"/>
    <mergeCell ref="B542:B543"/>
    <mergeCell ref="A544:A546"/>
    <mergeCell ref="B544:B546"/>
    <mergeCell ref="A538:A539"/>
    <mergeCell ref="B538:B539"/>
    <mergeCell ref="A536:A537"/>
    <mergeCell ref="B536:B537"/>
    <mergeCell ref="B378:B379"/>
    <mergeCell ref="A380:A437"/>
    <mergeCell ref="B380:B437"/>
    <mergeCell ref="A378:A379"/>
    <mergeCell ref="A438:A535"/>
    <mergeCell ref="B438:B535"/>
    <mergeCell ref="A303:A304"/>
    <mergeCell ref="B303:B304"/>
    <mergeCell ref="A296:A297"/>
    <mergeCell ref="A315:A319"/>
    <mergeCell ref="B315:B319"/>
    <mergeCell ref="A307:A312"/>
    <mergeCell ref="B307:B312"/>
    <mergeCell ref="A313:A314"/>
    <mergeCell ref="B313:B314"/>
    <mergeCell ref="A84:A203"/>
    <mergeCell ref="A222:A246"/>
    <mergeCell ref="B222:B246"/>
    <mergeCell ref="B292:C292"/>
    <mergeCell ref="B293:C293"/>
    <mergeCell ref="A82:A83"/>
    <mergeCell ref="B82:B83"/>
    <mergeCell ref="B204:B208"/>
    <mergeCell ref="A209:A213"/>
    <mergeCell ref="B209:B213"/>
    <mergeCell ref="A77:A78"/>
    <mergeCell ref="B77:B78"/>
    <mergeCell ref="A79:A81"/>
    <mergeCell ref="B73:B74"/>
    <mergeCell ref="A75:A76"/>
    <mergeCell ref="B75:B76"/>
    <mergeCell ref="B79:B81"/>
    <mergeCell ref="A73:A74"/>
    <mergeCell ref="B25:B36"/>
    <mergeCell ref="A60:A64"/>
    <mergeCell ref="B60:B64"/>
    <mergeCell ref="A65:A70"/>
    <mergeCell ref="B65:B70"/>
    <mergeCell ref="A71:A72"/>
    <mergeCell ref="B71:B72"/>
    <mergeCell ref="A25:A36"/>
    <mergeCell ref="B37:B59"/>
    <mergeCell ref="B320:B377"/>
    <mergeCell ref="A214:A215"/>
    <mergeCell ref="B214:B215"/>
    <mergeCell ref="A320:A377"/>
    <mergeCell ref="A216:A221"/>
    <mergeCell ref="B216:B221"/>
    <mergeCell ref="A294:A295"/>
    <mergeCell ref="B294:B295"/>
    <mergeCell ref="A298:A302"/>
    <mergeCell ref="B298:B302"/>
    <mergeCell ref="A11:C11"/>
    <mergeCell ref="B251:B291"/>
    <mergeCell ref="A251:A291"/>
    <mergeCell ref="A14:C14"/>
    <mergeCell ref="A15:C15"/>
    <mergeCell ref="B84:B203"/>
    <mergeCell ref="A204:A208"/>
    <mergeCell ref="A20:A22"/>
    <mergeCell ref="B20:B22"/>
    <mergeCell ref="A37:A59"/>
  </mergeCells>
  <printOptions/>
  <pageMargins left="0.35433070866141736" right="0.2755905511811024" top="0.31496062992125984" bottom="0.2755905511811024" header="0.15748031496062992" footer="0.5118110236220472"/>
  <pageSetup fitToHeight="25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2020-03-26T10:30:10Z</cp:lastPrinted>
  <dcterms:created xsi:type="dcterms:W3CDTF">2017-12-26T08:57:14Z</dcterms:created>
  <dcterms:modified xsi:type="dcterms:W3CDTF">2020-05-05T07:39:44Z</dcterms:modified>
  <cp:category/>
  <cp:version/>
  <cp:contentType/>
  <cp:contentStatus/>
</cp:coreProperties>
</file>